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2/Q1 2022/Factsheet/"/>
    </mc:Choice>
  </mc:AlternateContent>
  <xr:revisionPtr revIDLastSave="3" documentId="8_{A5D15D4C-A753-4D5E-8C13-C592795E3449}" xr6:coauthVersionLast="47" xr6:coauthVersionMax="47" xr10:uidLastSave="{A3383134-DF6C-4829-8861-9474E773C380}"/>
  <bookViews>
    <workbookView xWindow="28680" yWindow="-1875" windowWidth="29040" windowHeight="15840" activeTab="1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Statement'!$A$1:$M$31</definedName>
    <definedName name="_xlnm.Print_Area" localSheetId="2">'Sales Revenues by Region'!$A$1:$K$73</definedName>
    <definedName name="_xlnm.Print_Area" localSheetId="3">Segments!$A$1:$K$103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3" l="1"/>
  <c r="K7" i="13"/>
  <c r="J8" i="13"/>
  <c r="K8" i="13"/>
  <c r="J11" i="13"/>
  <c r="K11" i="13"/>
  <c r="J12" i="13"/>
  <c r="K12" i="13"/>
  <c r="J13" i="13"/>
  <c r="K13" i="13"/>
  <c r="J19" i="13"/>
  <c r="K19" i="13"/>
  <c r="J20" i="13"/>
  <c r="K20" i="13"/>
  <c r="B21" i="13"/>
  <c r="C21" i="13"/>
  <c r="D21" i="13"/>
  <c r="E21" i="13"/>
  <c r="F21" i="13"/>
  <c r="G21" i="13"/>
  <c r="J23" i="13"/>
  <c r="K23" i="13"/>
  <c r="J24" i="13"/>
  <c r="K24" i="13"/>
  <c r="J25" i="13"/>
  <c r="K25" i="13"/>
  <c r="D7" i="11"/>
  <c r="J11" i="11"/>
  <c r="H11" i="11"/>
  <c r="D10" i="11"/>
  <c r="K9" i="11"/>
  <c r="I9" i="11"/>
  <c r="G9" i="11"/>
  <c r="D9" i="11"/>
  <c r="E9" i="11" s="1"/>
  <c r="I8" i="11"/>
  <c r="G8" i="11"/>
  <c r="D8" i="11"/>
  <c r="E8" i="11" s="1"/>
  <c r="K7" i="11"/>
  <c r="I7" i="11"/>
  <c r="G7" i="11"/>
  <c r="E7" i="11"/>
  <c r="J20" i="11"/>
  <c r="K16" i="11"/>
  <c r="K9" i="13" l="1"/>
  <c r="K21" i="13"/>
  <c r="J9" i="13"/>
  <c r="J21" i="13"/>
  <c r="G11" i="11"/>
  <c r="I11" i="11"/>
  <c r="D11" i="11"/>
  <c r="E11" i="11" s="1"/>
  <c r="C37" i="13"/>
  <c r="D37" i="13"/>
  <c r="E37" i="13"/>
  <c r="F37" i="13"/>
  <c r="G37" i="13"/>
  <c r="H37" i="13"/>
  <c r="I37" i="13"/>
  <c r="J37" i="13"/>
  <c r="K37" i="13"/>
  <c r="B37" i="13"/>
  <c r="B61" i="13"/>
  <c r="G56" i="11" l="1"/>
  <c r="C20" i="11"/>
  <c r="F20" i="11"/>
  <c r="H20" i="11"/>
  <c r="B20" i="11"/>
  <c r="D16" i="11"/>
  <c r="J62" i="13"/>
  <c r="J49" i="13" s="1"/>
  <c r="I20" i="11" l="1"/>
  <c r="G20" i="11"/>
  <c r="B49" i="13"/>
  <c r="K46" i="13" l="1"/>
  <c r="K34" i="13" s="1"/>
  <c r="J46" i="13"/>
  <c r="J34" i="13" s="1"/>
  <c r="I49" i="13"/>
  <c r="I48" i="13"/>
  <c r="I36" i="13" s="1"/>
  <c r="I47" i="13"/>
  <c r="I35" i="13" s="1"/>
  <c r="I44" i="13"/>
  <c r="I32" i="13" s="1"/>
  <c r="H49" i="13"/>
  <c r="H48" i="13"/>
  <c r="H36" i="13" s="1"/>
  <c r="H47" i="13"/>
  <c r="H35" i="13" s="1"/>
  <c r="H44" i="13"/>
  <c r="H32" i="13" s="1"/>
  <c r="G49" i="13"/>
  <c r="E49" i="13"/>
  <c r="E48" i="13"/>
  <c r="E36" i="13" s="1"/>
  <c r="F49" i="13"/>
  <c r="F48" i="13"/>
  <c r="F36" i="13" s="1"/>
  <c r="D49" i="13"/>
  <c r="C49" i="13"/>
  <c r="F44" i="11"/>
  <c r="F35" i="11" s="1"/>
  <c r="F26" i="11" s="1"/>
  <c r="J35" i="11"/>
  <c r="J26" i="11" s="1"/>
  <c r="J36" i="11"/>
  <c r="J27" i="11" s="1"/>
  <c r="H35" i="11"/>
  <c r="H26" i="11" s="1"/>
  <c r="H36" i="11"/>
  <c r="H27" i="11" s="1"/>
  <c r="J34" i="11"/>
  <c r="J25" i="11" s="1"/>
  <c r="H34" i="11"/>
  <c r="H25" i="11" s="1"/>
  <c r="F37" i="11"/>
  <c r="F28" i="11" s="1"/>
  <c r="F38" i="11"/>
  <c r="B43" i="11"/>
  <c r="B34" i="11" s="1"/>
  <c r="B25" i="11" s="1"/>
  <c r="C43" i="11"/>
  <c r="C34" i="11" s="1"/>
  <c r="C25" i="11" s="1"/>
  <c r="F43" i="11"/>
  <c r="F34" i="11" s="1"/>
  <c r="F25" i="11" s="1"/>
  <c r="B44" i="11"/>
  <c r="B35" i="11" s="1"/>
  <c r="B26" i="11" s="1"/>
  <c r="C44" i="11"/>
  <c r="C35" i="11" s="1"/>
  <c r="C26" i="11" s="1"/>
  <c r="B45" i="11"/>
  <c r="B36" i="11" s="1"/>
  <c r="B27" i="11" s="1"/>
  <c r="C45" i="11"/>
  <c r="I45" i="11" s="1"/>
  <c r="F45" i="11"/>
  <c r="F36" i="11" s="1"/>
  <c r="F27" i="11" s="1"/>
  <c r="B46" i="11"/>
  <c r="B37" i="11" s="1"/>
  <c r="B28" i="11" s="1"/>
  <c r="C46" i="11"/>
  <c r="C37" i="11" s="1"/>
  <c r="C28" i="11" s="1"/>
  <c r="C47" i="11"/>
  <c r="G47" i="11" s="1"/>
  <c r="H47" i="11"/>
  <c r="I47" i="11" s="1"/>
  <c r="J47" i="11"/>
  <c r="K47" i="11" s="1"/>
  <c r="I13" i="10"/>
  <c r="H13" i="10" s="1"/>
  <c r="I23" i="10"/>
  <c r="H23" i="10" s="1"/>
  <c r="J29" i="11" l="1"/>
  <c r="H29" i="11"/>
  <c r="I25" i="11"/>
  <c r="I26" i="11"/>
  <c r="B29" i="11"/>
  <c r="K26" i="11"/>
  <c r="G25" i="11"/>
  <c r="F29" i="11"/>
  <c r="D18" i="11"/>
  <c r="I18" i="11"/>
  <c r="K18" i="11"/>
  <c r="G18" i="11"/>
  <c r="C36" i="11"/>
  <c r="K35" i="11"/>
  <c r="G35" i="11"/>
  <c r="I43" i="11"/>
  <c r="K25" i="11"/>
  <c r="G43" i="11"/>
  <c r="K34" i="11"/>
  <c r="C38" i="11"/>
  <c r="G38" i="11" s="1"/>
  <c r="K43" i="11"/>
  <c r="D37" i="11"/>
  <c r="G34" i="11"/>
  <c r="D35" i="11"/>
  <c r="E35" i="11" s="1"/>
  <c r="D46" i="11"/>
  <c r="G44" i="11"/>
  <c r="D43" i="11"/>
  <c r="E43" i="11" s="1"/>
  <c r="D34" i="11"/>
  <c r="I44" i="11"/>
  <c r="D44" i="11"/>
  <c r="E44" i="11" s="1"/>
  <c r="I34" i="11"/>
  <c r="I35" i="11"/>
  <c r="K44" i="11"/>
  <c r="B47" i="11"/>
  <c r="D45" i="11"/>
  <c r="E45" i="11" s="1"/>
  <c r="G45" i="11"/>
  <c r="K45" i="11"/>
  <c r="E34" i="11" l="1"/>
  <c r="D25" i="11"/>
  <c r="C27" i="11"/>
  <c r="E18" i="11"/>
  <c r="K36" i="11"/>
  <c r="G36" i="11"/>
  <c r="I36" i="11"/>
  <c r="D36" i="11"/>
  <c r="E36" i="11" s="1"/>
  <c r="G26" i="11"/>
  <c r="D47" i="11"/>
  <c r="E47" i="11" s="1"/>
  <c r="D27" i="11" l="1"/>
  <c r="E27" i="11" s="1"/>
  <c r="I27" i="11"/>
  <c r="I29" i="11" s="1"/>
  <c r="C29" i="11"/>
  <c r="G29" i="11" s="1"/>
  <c r="G27" i="11"/>
  <c r="E25" i="11"/>
  <c r="K27" i="11"/>
  <c r="G16" i="11"/>
  <c r="I16" i="11"/>
  <c r="E16" i="11"/>
  <c r="I17" i="11"/>
  <c r="K17" i="11"/>
  <c r="K20" i="11" s="1"/>
  <c r="D17" i="11"/>
  <c r="G17" i="11"/>
  <c r="H56" i="13"/>
  <c r="H43" i="13" s="1"/>
  <c r="H31" i="13" s="1"/>
  <c r="K62" i="13"/>
  <c r="K49" i="13" s="1"/>
  <c r="I56" i="13"/>
  <c r="I43" i="13" s="1"/>
  <c r="I31" i="13" s="1"/>
  <c r="G60" i="13"/>
  <c r="G47" i="13" s="1"/>
  <c r="G35" i="13" s="1"/>
  <c r="G61" i="13"/>
  <c r="G48" i="13" s="1"/>
  <c r="G36" i="13" s="1"/>
  <c r="G57" i="13"/>
  <c r="G44" i="13" s="1"/>
  <c r="G32" i="13" s="1"/>
  <c r="G56" i="13"/>
  <c r="G43" i="13" s="1"/>
  <c r="G31" i="13" s="1"/>
  <c r="F60" i="13"/>
  <c r="F47" i="13" s="1"/>
  <c r="F35" i="13" s="1"/>
  <c r="F57" i="13"/>
  <c r="F44" i="13" s="1"/>
  <c r="F56" i="13"/>
  <c r="F43" i="13" s="1"/>
  <c r="F31" i="13" s="1"/>
  <c r="E60" i="13"/>
  <c r="E47" i="13" s="1"/>
  <c r="E35" i="13" s="1"/>
  <c r="E57" i="13"/>
  <c r="E44" i="13" s="1"/>
  <c r="E32" i="13" s="1"/>
  <c r="E56" i="13"/>
  <c r="E43" i="13" s="1"/>
  <c r="E31" i="13" s="1"/>
  <c r="D61" i="13"/>
  <c r="D48" i="13" s="1"/>
  <c r="D36" i="13" s="1"/>
  <c r="D60" i="13"/>
  <c r="D47" i="13" s="1"/>
  <c r="D35" i="13" s="1"/>
  <c r="D57" i="13"/>
  <c r="D44" i="13" s="1"/>
  <c r="D32" i="13" s="1"/>
  <c r="D56" i="13"/>
  <c r="D43" i="13" s="1"/>
  <c r="D31" i="13" s="1"/>
  <c r="C61" i="13"/>
  <c r="C48" i="13" s="1"/>
  <c r="C36" i="13" s="1"/>
  <c r="B60" i="13"/>
  <c r="B47" i="13" s="1"/>
  <c r="B35" i="13" s="1"/>
  <c r="C60" i="13"/>
  <c r="C47" i="13" s="1"/>
  <c r="C35" i="13" s="1"/>
  <c r="C59" i="13"/>
  <c r="C46" i="13" s="1"/>
  <c r="C34" i="13" s="1"/>
  <c r="C57" i="13"/>
  <c r="C44" i="13" s="1"/>
  <c r="C32" i="13" s="1"/>
  <c r="C56" i="13"/>
  <c r="C43" i="13" s="1"/>
  <c r="C31" i="13" s="1"/>
  <c r="B48" i="13"/>
  <c r="B36" i="13" s="1"/>
  <c r="B59" i="13"/>
  <c r="B46" i="13" s="1"/>
  <c r="B34" i="13" s="1"/>
  <c r="B57" i="13"/>
  <c r="B44" i="13" s="1"/>
  <c r="B32" i="13" s="1"/>
  <c r="B56" i="13"/>
  <c r="B43" i="13" s="1"/>
  <c r="B31" i="13" s="1"/>
  <c r="J28" i="10"/>
  <c r="I28" i="10" s="1"/>
  <c r="H28" i="10" s="1"/>
  <c r="J27" i="10"/>
  <c r="I27" i="10" s="1"/>
  <c r="H27" i="10" s="1"/>
  <c r="J24" i="10"/>
  <c r="I24" i="10" s="1"/>
  <c r="H24" i="10" s="1"/>
  <c r="J20" i="10"/>
  <c r="I20" i="10" s="1"/>
  <c r="H20" i="10" s="1"/>
  <c r="J19" i="10"/>
  <c r="I19" i="10" s="1"/>
  <c r="H19" i="10" s="1"/>
  <c r="J18" i="10"/>
  <c r="I18" i="10" s="1"/>
  <c r="H18" i="10" s="1"/>
  <c r="J17" i="10"/>
  <c r="I17" i="10" s="1"/>
  <c r="H17" i="10" s="1"/>
  <c r="J16" i="10"/>
  <c r="I16" i="10" s="1"/>
  <c r="H16" i="10" s="1"/>
  <c r="J15" i="10"/>
  <c r="I15" i="10" s="1"/>
  <c r="H15" i="10" s="1"/>
  <c r="J14" i="10"/>
  <c r="I14" i="10" s="1"/>
  <c r="H14" i="10" s="1"/>
  <c r="J12" i="10"/>
  <c r="I12" i="10" s="1"/>
  <c r="H12" i="10" s="1"/>
  <c r="J11" i="10"/>
  <c r="I11" i="10" s="1"/>
  <c r="H11" i="10" s="1"/>
  <c r="J10" i="10"/>
  <c r="I10" i="10" s="1"/>
  <c r="H10" i="10" s="1"/>
  <c r="J9" i="10"/>
  <c r="I9" i="10" s="1"/>
  <c r="H9" i="10" s="1"/>
  <c r="J8" i="10"/>
  <c r="I8" i="10" s="1"/>
  <c r="H8" i="10" s="1"/>
  <c r="J7" i="10"/>
  <c r="I7" i="10" s="1"/>
  <c r="H7" i="10" s="1"/>
  <c r="F45" i="13" l="1"/>
  <c r="F32" i="13"/>
  <c r="E17" i="11"/>
  <c r="D26" i="11"/>
  <c r="C45" i="13"/>
  <c r="G45" i="13"/>
  <c r="E45" i="13"/>
  <c r="D45" i="13"/>
  <c r="J57" i="13"/>
  <c r="J44" i="13" s="1"/>
  <c r="J32" i="13" s="1"/>
  <c r="K61" i="13"/>
  <c r="K48" i="13" s="1"/>
  <c r="K36" i="13" s="1"/>
  <c r="J61" i="13"/>
  <c r="J48" i="13" s="1"/>
  <c r="J36" i="13" s="1"/>
  <c r="K60" i="13"/>
  <c r="K56" i="13"/>
  <c r="K43" i="13" s="1"/>
  <c r="K31" i="13" s="1"/>
  <c r="J60" i="13"/>
  <c r="C58" i="13"/>
  <c r="K57" i="13"/>
  <c r="K44" i="13" s="1"/>
  <c r="K32" i="13" s="1"/>
  <c r="J56" i="13"/>
  <c r="G58" i="13"/>
  <c r="F58" i="13"/>
  <c r="E58" i="13"/>
  <c r="D58" i="13"/>
  <c r="B58" i="13"/>
  <c r="F33" i="13" l="1"/>
  <c r="E26" i="11"/>
  <c r="C33" i="13"/>
  <c r="K45" i="13"/>
  <c r="D33" i="13"/>
  <c r="E33" i="13"/>
  <c r="G33" i="13"/>
  <c r="J58" i="13"/>
  <c r="J43" i="13"/>
  <c r="K58" i="13"/>
  <c r="B45" i="13"/>
  <c r="B33" i="13" s="1"/>
  <c r="C86" i="13"/>
  <c r="D86" i="13"/>
  <c r="E86" i="13"/>
  <c r="F86" i="13"/>
  <c r="G86" i="13"/>
  <c r="H86" i="13"/>
  <c r="I86" i="13"/>
  <c r="B86" i="13"/>
  <c r="D85" i="13"/>
  <c r="E85" i="13"/>
  <c r="F85" i="13"/>
  <c r="G85" i="13"/>
  <c r="H85" i="13"/>
  <c r="I85" i="13"/>
  <c r="C84" i="13"/>
  <c r="B84" i="13"/>
  <c r="C82" i="13"/>
  <c r="D82" i="13"/>
  <c r="E82" i="13"/>
  <c r="F82" i="13"/>
  <c r="G82" i="13"/>
  <c r="H82" i="13"/>
  <c r="I82" i="13"/>
  <c r="B82" i="13"/>
  <c r="C81" i="13"/>
  <c r="D81" i="13"/>
  <c r="E81" i="13"/>
  <c r="F81" i="13"/>
  <c r="G81" i="13"/>
  <c r="H81" i="13"/>
  <c r="I81" i="13"/>
  <c r="B81" i="13"/>
  <c r="C87" i="13"/>
  <c r="D87" i="13"/>
  <c r="E87" i="13"/>
  <c r="F87" i="13"/>
  <c r="G87" i="13"/>
  <c r="H87" i="13"/>
  <c r="I87" i="13"/>
  <c r="J87" i="13"/>
  <c r="K87" i="13"/>
  <c r="K73" i="13"/>
  <c r="K47" i="13" s="1"/>
  <c r="K35" i="13" s="1"/>
  <c r="K71" i="13"/>
  <c r="G71" i="13"/>
  <c r="B87" i="13"/>
  <c r="J73" i="13"/>
  <c r="J47" i="13" s="1"/>
  <c r="J35" i="13" s="1"/>
  <c r="J71" i="13"/>
  <c r="F71" i="13"/>
  <c r="E71" i="13"/>
  <c r="D71" i="13"/>
  <c r="C71" i="13"/>
  <c r="B71" i="13"/>
  <c r="J61" i="11"/>
  <c r="J62" i="11"/>
  <c r="J60" i="11"/>
  <c r="I69" i="11"/>
  <c r="H62" i="11"/>
  <c r="H60" i="11"/>
  <c r="H61" i="11"/>
  <c r="F61" i="11"/>
  <c r="F62" i="11"/>
  <c r="F64" i="11"/>
  <c r="F60" i="11"/>
  <c r="C61" i="11"/>
  <c r="C62" i="11"/>
  <c r="C63" i="11"/>
  <c r="C64" i="11"/>
  <c r="C60" i="11"/>
  <c r="B61" i="11"/>
  <c r="B62" i="11"/>
  <c r="B63" i="11"/>
  <c r="B60" i="11"/>
  <c r="K54" i="11"/>
  <c r="I52" i="11"/>
  <c r="I53" i="11"/>
  <c r="J56" i="11"/>
  <c r="H56" i="11"/>
  <c r="H38" i="11" s="1"/>
  <c r="I38" i="11" s="1"/>
  <c r="B56" i="11"/>
  <c r="D55" i="11"/>
  <c r="I54" i="11"/>
  <c r="G54" i="11"/>
  <c r="D54" i="11"/>
  <c r="E54" i="11" s="1"/>
  <c r="K53" i="11"/>
  <c r="G53" i="11"/>
  <c r="D53" i="11"/>
  <c r="E53" i="11" s="1"/>
  <c r="K52" i="11"/>
  <c r="G52" i="11"/>
  <c r="D52" i="11"/>
  <c r="E52" i="11" s="1"/>
  <c r="J45" i="13" l="1"/>
  <c r="J31" i="13"/>
  <c r="J33" i="13" s="1"/>
  <c r="G64" i="11"/>
  <c r="K33" i="13"/>
  <c r="K56" i="11"/>
  <c r="J38" i="11"/>
  <c r="K38" i="11" s="1"/>
  <c r="D56" i="11"/>
  <c r="E56" i="11" s="1"/>
  <c r="B38" i="11"/>
  <c r="I61" i="11"/>
  <c r="I60" i="11"/>
  <c r="I62" i="11"/>
  <c r="D83" i="13"/>
  <c r="B83" i="13"/>
  <c r="C83" i="13"/>
  <c r="F83" i="13"/>
  <c r="E83" i="13"/>
  <c r="G83" i="13"/>
  <c r="G61" i="11"/>
  <c r="D61" i="11"/>
  <c r="E61" i="11" s="1"/>
  <c r="D63" i="11"/>
  <c r="K62" i="11"/>
  <c r="D62" i="11"/>
  <c r="E62" i="11" s="1"/>
  <c r="K61" i="11"/>
  <c r="K60" i="11"/>
  <c r="D60" i="11"/>
  <c r="E60" i="11" s="1"/>
  <c r="G60" i="11"/>
  <c r="D38" i="11" l="1"/>
  <c r="E38" i="11" s="1"/>
  <c r="K29" i="11"/>
  <c r="L8" i="10"/>
  <c r="L10" i="10"/>
  <c r="L11" i="10"/>
  <c r="L12" i="10"/>
  <c r="L13" i="10"/>
  <c r="L15" i="10"/>
  <c r="L17" i="10"/>
  <c r="L19" i="10"/>
  <c r="L23" i="10"/>
  <c r="L24" i="10"/>
  <c r="L27" i="10"/>
  <c r="L28" i="10"/>
  <c r="L7" i="10"/>
  <c r="D19" i="11" l="1"/>
  <c r="K99" i="13"/>
  <c r="K98" i="13"/>
  <c r="K86" i="13" s="1"/>
  <c r="K96" i="13"/>
  <c r="K84" i="13" s="1"/>
  <c r="K94" i="13"/>
  <c r="K93" i="13"/>
  <c r="K81" i="13" s="1"/>
  <c r="G95" i="13"/>
  <c r="E95" i="13"/>
  <c r="C97" i="13"/>
  <c r="C95" i="13"/>
  <c r="D28" i="11" l="1"/>
  <c r="D29" i="11" s="1"/>
  <c r="E29" i="11" s="1"/>
  <c r="D20" i="11"/>
  <c r="E20" i="11" s="1"/>
  <c r="K97" i="13"/>
  <c r="K85" i="13" s="1"/>
  <c r="C85" i="13"/>
  <c r="K95" i="13"/>
  <c r="K82" i="13"/>
  <c r="K83" i="13" s="1"/>
  <c r="F71" i="11"/>
  <c r="F63" i="11" s="1"/>
  <c r="G62" i="11" l="1"/>
  <c r="J99" i="13" l="1"/>
  <c r="J98" i="13"/>
  <c r="J86" i="13" s="1"/>
  <c r="B97" i="13"/>
  <c r="B85" i="13" s="1"/>
  <c r="J96" i="13"/>
  <c r="J84" i="13" s="1"/>
  <c r="J94" i="13"/>
  <c r="J82" i="13" s="1"/>
  <c r="F95" i="13"/>
  <c r="D95" i="13"/>
  <c r="B95" i="13"/>
  <c r="J93" i="13"/>
  <c r="J81" i="13" s="1"/>
  <c r="J83" i="13" l="1"/>
  <c r="J95" i="13"/>
  <c r="J97" i="13"/>
  <c r="J85" i="13" s="1"/>
  <c r="J72" i="11" l="1"/>
  <c r="J64" i="11" s="1"/>
  <c r="K64" i="11" s="1"/>
  <c r="H72" i="11"/>
  <c r="B72" i="11"/>
  <c r="B64" i="11" s="1"/>
  <c r="D64" i="11" s="1"/>
  <c r="E64" i="11" s="1"/>
  <c r="D71" i="11"/>
  <c r="K70" i="11"/>
  <c r="D70" i="11"/>
  <c r="E70" i="11" s="1"/>
  <c r="K69" i="11"/>
  <c r="D69" i="11"/>
  <c r="E69" i="11" s="1"/>
  <c r="K68" i="11"/>
  <c r="D68" i="11"/>
  <c r="I68" i="11" s="1"/>
  <c r="M9" i="10"/>
  <c r="H64" i="11" l="1"/>
  <c r="I64" i="11" s="1"/>
  <c r="I72" i="11"/>
  <c r="M14" i="10"/>
  <c r="L9" i="10"/>
  <c r="D72" i="11"/>
  <c r="E72" i="11" s="1"/>
  <c r="M16" i="10" l="1"/>
  <c r="L14" i="10"/>
  <c r="M18" i="10" l="1"/>
  <c r="L16" i="10"/>
  <c r="M20" i="10" l="1"/>
  <c r="L20" i="10" s="1"/>
  <c r="L18" i="10"/>
</calcChain>
</file>

<file path=xl/sharedStrings.xml><?xml version="1.0" encoding="utf-8"?>
<sst xmlns="http://schemas.openxmlformats.org/spreadsheetml/2006/main" count="446" uniqueCount="67">
  <si>
    <t>FUCHS PETROLUB SE</t>
  </si>
  <si>
    <t>Income Statement</t>
  </si>
  <si>
    <t>in € million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</si>
  <si>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</si>
  <si>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</si>
  <si>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</si>
  <si>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</si>
  <si>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</si>
  <si>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</si>
  <si>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</si>
  <si>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</si>
  <si>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</si>
  <si>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</si>
  <si>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</si>
  <si>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</si>
  <si>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</si>
  <si>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</si>
  <si>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</si>
  <si>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</si>
  <si>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</si>
  <si>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</si>
  <si>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</si>
  <si>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</si>
  <si>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 xml:space="preserve">Preference share 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</si>
  <si>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</si>
  <si>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</si>
  <si>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</si>
  <si>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</si>
  <si>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</si>
  <si>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</si>
  <si>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</si>
  <si>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</si>
  <si>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</si>
  <si>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</si>
  <si>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</si>
  <si>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</si>
  <si>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</si>
  <si>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</si>
  <si>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</si>
  <si>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</si>
  <si>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</si>
  <si>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</si>
  <si>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</si>
  <si>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</si>
  <si>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</si>
  <si>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</si>
  <si>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</si>
  <si>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</si>
  <si>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</si>
  <si>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Q1-Q3 2020</t>
  </si>
  <si>
    <t>Q3 2020</t>
  </si>
  <si>
    <t>H1 2020</t>
  </si>
  <si>
    <t>Q2 2020</t>
  </si>
  <si>
    <t>FY 2020</t>
  </si>
  <si>
    <t>Q1 2021</t>
  </si>
  <si>
    <t>H1 2021</t>
  </si>
  <si>
    <t>Q2 2021</t>
  </si>
  <si>
    <t>Employees as at June 30*</t>
  </si>
  <si>
    <t>Q3 2021</t>
  </si>
  <si>
    <t>Employees as at September 30*</t>
  </si>
  <si>
    <t>Q1-Q3 2021</t>
  </si>
  <si>
    <t>Q4 2021</t>
  </si>
  <si>
    <t>FY 2021</t>
  </si>
  <si>
    <t>Q1-Q4 2021</t>
  </si>
  <si>
    <t>Q4  2021</t>
  </si>
  <si>
    <t>Employees as at December 31*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</si>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</sst>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7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0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5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7" xfId="0" applyFont="1" applyFill="1" applyBorder="1"/>
    <xf numFmtId="4" fontId="9" fillId="5" borderId="0" xfId="0" applyNumberFormat="1" applyFont="1" applyFill="1" applyBorder="1"/>
    <xf numFmtId="1" fontId="9" fillId="5" borderId="4" xfId="0" applyNumberFormat="1" applyFont="1" applyFill="1" applyBorder="1"/>
    <xf numFmtId="1" fontId="7" fillId="5" borderId="3" xfId="0" applyNumberFormat="1" applyFont="1" applyFill="1" applyBorder="1"/>
    <xf numFmtId="3" fontId="9" fillId="6" borderId="6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0" fontId="2" fillId="5" borderId="0" xfId="0" applyFont="1" applyFill="1" applyBorder="1"/>
    <xf numFmtId="3" fontId="9" fillId="5" borderId="2" xfId="0" applyNumberFormat="1" applyFont="1" applyFill="1" applyBorder="1"/>
    <xf numFmtId="3" fontId="9" fillId="5" borderId="18" xfId="0" applyNumberFormat="1" applyFont="1" applyFill="1" applyBorder="1"/>
    <xf numFmtId="3" fontId="7" fillId="5" borderId="2" xfId="0" applyNumberFormat="1" applyFont="1" applyFill="1" applyBorder="1"/>
    <xf numFmtId="3" fontId="7" fillId="5" borderId="18" xfId="0" applyNumberFormat="1" applyFont="1" applyFill="1" applyBorder="1"/>
    <xf numFmtId="1" fontId="7" fillId="5" borderId="4" xfId="0" applyNumberFormat="1" applyFont="1" applyFill="1" applyBorder="1"/>
    <xf numFmtId="4" fontId="9" fillId="5" borderId="2" xfId="0" applyNumberFormat="1" applyFont="1" applyFill="1" applyBorder="1"/>
    <xf numFmtId="0" fontId="7" fillId="0" borderId="3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4" xfId="0" applyNumberFormat="1" applyFont="1" applyFill="1" applyBorder="1"/>
    <xf numFmtId="3" fontId="7" fillId="6" borderId="29" xfId="0" applyNumberFormat="1" applyFont="1" applyFill="1" applyBorder="1"/>
    <xf numFmtId="3" fontId="9" fillId="5" borderId="20" xfId="0" applyNumberFormat="1" applyFont="1" applyFill="1" applyBorder="1"/>
    <xf numFmtId="9" fontId="9" fillId="6" borderId="4" xfId="0" applyNumberFormat="1" applyFont="1" applyFill="1" applyBorder="1"/>
    <xf numFmtId="3" fontId="9" fillId="5" borderId="20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5" xfId="0" applyNumberFormat="1" applyFont="1" applyFill="1" applyBorder="1"/>
    <xf numFmtId="9" fontId="9" fillId="6" borderId="26" xfId="0" applyNumberFormat="1" applyFont="1" applyFill="1" applyBorder="1"/>
    <xf numFmtId="3" fontId="9" fillId="5" borderId="27" xfId="0" applyNumberFormat="1" applyFont="1" applyFill="1" applyBorder="1"/>
    <xf numFmtId="3" fontId="7" fillId="5" borderId="30" xfId="0" applyNumberFormat="1" applyFont="1" applyFill="1" applyBorder="1"/>
    <xf numFmtId="9" fontId="7" fillId="6" borderId="31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3" fontId="9" fillId="5" borderId="28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9" fontId="9" fillId="6" borderId="26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7" borderId="4" xfId="0" applyNumberFormat="1" applyFont="1" applyFill="1" applyBorder="1"/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9" fillId="6" borderId="26" xfId="14" applyFont="1" applyFill="1" applyBorder="1"/>
    <xf numFmtId="3" fontId="9" fillId="0" borderId="6" xfId="0" applyNumberFormat="1" applyFont="1" applyBorder="1" applyAlignment="1">
      <alignment horizontal="right"/>
    </xf>
    <xf numFmtId="49" fontId="7" fillId="5" borderId="0" xfId="0" applyNumberFormat="1" applyFont="1" applyFill="1" applyAlignment="1">
      <alignment horizontal="left"/>
    </xf>
    <xf numFmtId="0" fontId="7" fillId="5" borderId="16" xfId="0" applyFont="1" applyFill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right"/>
    </xf>
    <xf numFmtId="1" fontId="9" fillId="5" borderId="4" xfId="0" quotePrefix="1" applyNumberFormat="1" applyFont="1" applyFill="1" applyBorder="1" applyAlignment="1">
      <alignment horizontal="right"/>
    </xf>
    <xf numFmtId="3" fontId="7" fillId="5" borderId="20" xfId="0" applyNumberFormat="1" applyFont="1" applyFill="1" applyBorder="1"/>
    <xf numFmtId="1" fontId="7" fillId="5" borderId="4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43" fontId="9" fillId="5" borderId="2" xfId="15" applyFont="1" applyFill="1" applyBorder="1"/>
    <xf numFmtId="3" fontId="7" fillId="5" borderId="0" xfId="0" applyNumberFormat="1" applyFont="1" applyFill="1" applyBorder="1"/>
    <xf numFmtId="1" fontId="7" fillId="5" borderId="0" xfId="0" applyNumberFormat="1" applyFont="1" applyFill="1" applyBorder="1" applyAlignment="1">
      <alignment horizontal="right"/>
    </xf>
    <xf numFmtId="1" fontId="7" fillId="5" borderId="0" xfId="0" applyNumberFormat="1" applyFont="1" applyFill="1" applyBorder="1"/>
    <xf numFmtId="9" fontId="7" fillId="5" borderId="0" xfId="0" applyNumberFormat="1" applyFont="1" applyFill="1" applyBorder="1"/>
    <xf numFmtId="1" fontId="9" fillId="5" borderId="20" xfId="0" quotePrefix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wrapText="1"/>
    </xf>
    <xf numFmtId="3" fontId="9" fillId="5" borderId="0" xfId="0" applyNumberFormat="1" applyFont="1" applyFill="1" applyBorder="1" applyAlignment="1">
      <alignment horizontal="right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left"/>
    </xf>
    <xf numFmtId="0" fontId="9" fillId="0" borderId="2" xfId="0" applyFont="1" applyFill="1" applyBorder="1"/>
    <xf numFmtId="0" fontId="9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9" fillId="0" borderId="2" xfId="0" applyNumberFormat="1" applyFont="1" applyFill="1" applyBorder="1"/>
    <xf numFmtId="3" fontId="7" fillId="0" borderId="2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</cellXfs>
  <cellStyles count="16">
    <cellStyle name="Komma" xfId="15" builtinId="3"/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Q1 2022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769929" y="0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opLeftCell="A2" zoomScale="90" zoomScaleNormal="90" workbookViewId="0">
      <selection activeCell="I52" sqref="I52"/>
    </sheetView>
  </sheetViews>
  <sheetFormatPr baseColWidth="10" defaultColWidth="8.88671875" defaultRowHeight="13.2" x14ac:dyDescent="0.25"/>
  <sheetData>
    <row r="1" spans="1:1" x14ac:dyDescent="0.25">
      <c r="A1" s="69"/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1"/>
  <sheetViews>
    <sheetView tabSelected="1" zoomScaleNormal="100" zoomScaleSheetLayoutView="115" workbookViewId="0">
      <selection activeCell="E5" sqref="E5"/>
    </sheetView>
  </sheetViews>
  <sheetFormatPr baseColWidth="10" defaultColWidth="11.44140625" defaultRowHeight="13.2" x14ac:dyDescent="0.25"/>
  <cols>
    <col min="1" max="2" width="11.44140625" style="2"/>
    <col min="3" max="3" width="11.109375" style="2" customWidth="1"/>
    <col min="4" max="4" width="21.88671875" style="4" customWidth="1"/>
    <col min="5" max="8" width="11.109375" style="2" customWidth="1"/>
    <col min="9" max="9" width="12.5546875" style="2" customWidth="1"/>
    <col min="10" max="13" width="11.109375" style="2" customWidth="1"/>
    <col min="14" max="16384" width="11.44140625" style="2"/>
  </cols>
  <sheetData>
    <row r="1" spans="1:13" ht="17.399999999999999" x14ac:dyDescent="0.3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.6" x14ac:dyDescent="0.3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3.8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29.4" customHeight="1" x14ac:dyDescent="0.25">
      <c r="A4" s="3"/>
      <c r="B4" s="49"/>
      <c r="C4" s="49"/>
      <c r="D4" s="59"/>
      <c r="E4" s="49"/>
      <c r="F4" s="49"/>
      <c r="G4" s="49"/>
      <c r="H4" s="144"/>
      <c r="I4" s="49"/>
      <c r="J4" s="49"/>
      <c r="K4" s="5"/>
      <c r="L4" s="5"/>
      <c r="M4" s="49"/>
    </row>
    <row r="5" spans="1:13" ht="16.5" customHeight="1" x14ac:dyDescent="0.25">
      <c r="A5" s="3"/>
      <c r="B5" s="49"/>
      <c r="C5" s="49"/>
      <c r="D5" s="59"/>
      <c r="E5" s="49"/>
      <c r="F5" s="49"/>
      <c r="G5" s="49"/>
      <c r="I5" s="49"/>
      <c r="J5" s="49"/>
      <c r="K5" s="5"/>
      <c r="L5" s="5"/>
      <c r="M5" s="49"/>
    </row>
    <row r="6" spans="1:13" ht="16.5" customHeight="1" x14ac:dyDescent="0.25">
      <c r="A6" s="26" t="s">
        <v>2</v>
      </c>
      <c r="B6" s="6"/>
      <c r="C6" s="6"/>
      <c r="D6" s="7"/>
      <c r="E6" s="8"/>
      <c r="F6" s="56" t="s">
        <v>66</v>
      </c>
      <c r="G6" s="56" t="s">
        <v>62</v>
      </c>
      <c r="H6" s="56" t="s">
        <v>61</v>
      </c>
      <c r="I6" s="56" t="s">
        <v>60</v>
      </c>
      <c r="J6" s="56" t="s">
        <v>58</v>
      </c>
      <c r="K6" s="56" t="s">
        <v>55</v>
      </c>
      <c r="L6" s="56" t="s">
        <v>56</v>
      </c>
      <c r="M6" s="56" t="s">
        <v>54</v>
      </c>
    </row>
    <row r="7" spans="1:13" ht="17.100000000000001" customHeight="1" x14ac:dyDescent="0.25">
      <c r="A7" s="20" t="s">
        <v>3</v>
      </c>
      <c r="B7" s="10"/>
      <c r="C7" s="10"/>
      <c r="D7" s="11"/>
      <c r="E7" s="12" t="s">
        <v>4</v>
      </c>
      <c r="F7" s="52">
        <v>808</v>
      </c>
      <c r="G7" s="110">
        <v>2871</v>
      </c>
      <c r="H7" s="52">
        <f>G7-I7</f>
        <v>742</v>
      </c>
      <c r="I7" s="110">
        <f>J7+K7</f>
        <v>2129</v>
      </c>
      <c r="J7" s="52">
        <f>2129-K7</f>
        <v>718</v>
      </c>
      <c r="K7" s="110">
        <v>1411</v>
      </c>
      <c r="L7" s="52">
        <f>K7-M7</f>
        <v>714</v>
      </c>
      <c r="M7" s="52">
        <v>697</v>
      </c>
    </row>
    <row r="8" spans="1:13" ht="17.100000000000001" customHeight="1" x14ac:dyDescent="0.25">
      <c r="A8" s="10" t="s">
        <v>5</v>
      </c>
      <c r="B8" s="10"/>
      <c r="C8" s="10"/>
      <c r="D8" s="11"/>
      <c r="E8" s="12"/>
      <c r="F8" s="145">
        <v>-546</v>
      </c>
      <c r="G8" s="45">
        <v>-1906</v>
      </c>
      <c r="H8" s="145">
        <f t="shared" ref="H8:H28" si="0">G8-I8</f>
        <v>-512</v>
      </c>
      <c r="I8" s="45">
        <f t="shared" ref="I8:I28" si="1">J8+K8</f>
        <v>-1394</v>
      </c>
      <c r="J8" s="50">
        <f>-1394-K8</f>
        <v>-480</v>
      </c>
      <c r="K8" s="64">
        <v>-914</v>
      </c>
      <c r="L8" s="50">
        <f t="shared" ref="L8:L28" si="2">K8-M8</f>
        <v>-472</v>
      </c>
      <c r="M8" s="50">
        <v>-442</v>
      </c>
    </row>
    <row r="9" spans="1:13" s="16" customFormat="1" ht="17.100000000000001" customHeight="1" x14ac:dyDescent="0.25">
      <c r="A9" s="13" t="s">
        <v>6</v>
      </c>
      <c r="B9" s="13"/>
      <c r="C9" s="13"/>
      <c r="D9" s="14"/>
      <c r="E9" s="15"/>
      <c r="F9" s="146">
        <v>262</v>
      </c>
      <c r="G9" s="65">
        <v>965</v>
      </c>
      <c r="H9" s="146">
        <f t="shared" si="0"/>
        <v>230</v>
      </c>
      <c r="I9" s="65">
        <f t="shared" si="1"/>
        <v>735</v>
      </c>
      <c r="J9" s="52">
        <f>735-K9</f>
        <v>238</v>
      </c>
      <c r="K9" s="65">
        <v>497</v>
      </c>
      <c r="L9" s="52">
        <f t="shared" si="2"/>
        <v>242</v>
      </c>
      <c r="M9" s="52">
        <f>M7+M8</f>
        <v>255</v>
      </c>
    </row>
    <row r="10" spans="1:13" ht="17.100000000000001" customHeight="1" x14ac:dyDescent="0.25">
      <c r="A10" s="6" t="s">
        <v>7</v>
      </c>
      <c r="B10" s="6"/>
      <c r="C10" s="6"/>
      <c r="D10" s="18"/>
      <c r="E10" s="19"/>
      <c r="F10" s="145">
        <v>-110</v>
      </c>
      <c r="G10" s="66">
        <v>-412</v>
      </c>
      <c r="H10" s="145">
        <f t="shared" si="0"/>
        <v>-107</v>
      </c>
      <c r="I10" s="66">
        <f t="shared" si="1"/>
        <v>-305</v>
      </c>
      <c r="J10" s="50">
        <f>-305-K10</f>
        <v>-102</v>
      </c>
      <c r="K10" s="66">
        <v>-203</v>
      </c>
      <c r="L10" s="50">
        <f t="shared" si="2"/>
        <v>-101</v>
      </c>
      <c r="M10" s="50">
        <v>-102</v>
      </c>
    </row>
    <row r="11" spans="1:13" ht="17.100000000000001" customHeight="1" x14ac:dyDescent="0.25">
      <c r="A11" s="10" t="s">
        <v>8</v>
      </c>
      <c r="B11" s="10"/>
      <c r="C11" s="10"/>
      <c r="D11" s="11"/>
      <c r="E11" s="12"/>
      <c r="F11" s="145">
        <v>-44</v>
      </c>
      <c r="G11" s="66">
        <v>-153</v>
      </c>
      <c r="H11" s="145">
        <f t="shared" si="0"/>
        <v>-37</v>
      </c>
      <c r="I11" s="66">
        <f t="shared" si="1"/>
        <v>-116</v>
      </c>
      <c r="J11" s="50">
        <f>-116-K11</f>
        <v>-39</v>
      </c>
      <c r="K11" s="66">
        <v>-77</v>
      </c>
      <c r="L11" s="50">
        <f t="shared" si="2"/>
        <v>-38</v>
      </c>
      <c r="M11" s="50">
        <v>-39</v>
      </c>
    </row>
    <row r="12" spans="1:13" ht="17.100000000000001" customHeight="1" x14ac:dyDescent="0.25">
      <c r="A12" s="10" t="s">
        <v>9</v>
      </c>
      <c r="B12" s="10"/>
      <c r="C12" s="10"/>
      <c r="D12" s="11"/>
      <c r="E12" s="12"/>
      <c r="F12" s="145">
        <v>-17</v>
      </c>
      <c r="G12" s="66">
        <v>-59</v>
      </c>
      <c r="H12" s="145">
        <f t="shared" si="0"/>
        <v>-15</v>
      </c>
      <c r="I12" s="66">
        <f t="shared" si="1"/>
        <v>-44</v>
      </c>
      <c r="J12" s="50">
        <f>-44-K12</f>
        <v>-14</v>
      </c>
      <c r="K12" s="66">
        <v>-30</v>
      </c>
      <c r="L12" s="50">
        <f t="shared" si="2"/>
        <v>-15</v>
      </c>
      <c r="M12" s="50">
        <v>-15</v>
      </c>
    </row>
    <row r="13" spans="1:13" ht="17.100000000000001" customHeight="1" x14ac:dyDescent="0.25">
      <c r="A13" s="10" t="s">
        <v>10</v>
      </c>
      <c r="B13" s="10"/>
      <c r="C13" s="10"/>
      <c r="D13" s="11"/>
      <c r="E13" s="12"/>
      <c r="F13" s="145">
        <v>0</v>
      </c>
      <c r="G13" s="66">
        <v>13</v>
      </c>
      <c r="H13" s="145">
        <f t="shared" si="0"/>
        <v>11</v>
      </c>
      <c r="I13" s="66">
        <f t="shared" si="1"/>
        <v>2</v>
      </c>
      <c r="J13" s="50">
        <v>2</v>
      </c>
      <c r="K13" s="66">
        <v>0</v>
      </c>
      <c r="L13" s="50">
        <f t="shared" si="2"/>
        <v>0</v>
      </c>
      <c r="M13" s="50">
        <v>0</v>
      </c>
    </row>
    <row r="14" spans="1:13" ht="17.100000000000001" customHeight="1" x14ac:dyDescent="0.25">
      <c r="A14" s="13" t="s">
        <v>11</v>
      </c>
      <c r="B14" s="13"/>
      <c r="C14" s="6"/>
      <c r="D14" s="7"/>
      <c r="E14" s="15"/>
      <c r="F14" s="146">
        <v>91</v>
      </c>
      <c r="G14" s="65">
        <v>354</v>
      </c>
      <c r="H14" s="146">
        <f t="shared" si="0"/>
        <v>82</v>
      </c>
      <c r="I14" s="65">
        <f t="shared" si="1"/>
        <v>272</v>
      </c>
      <c r="J14" s="52">
        <f>272-K14</f>
        <v>85</v>
      </c>
      <c r="K14" s="65">
        <v>187</v>
      </c>
      <c r="L14" s="52">
        <f t="shared" si="2"/>
        <v>88</v>
      </c>
      <c r="M14" s="52">
        <f>M9+M10+M11+M12+M13</f>
        <v>99</v>
      </c>
    </row>
    <row r="15" spans="1:13" ht="17.100000000000001" customHeight="1" x14ac:dyDescent="0.25">
      <c r="A15" s="10" t="s">
        <v>12</v>
      </c>
      <c r="B15" s="20"/>
      <c r="C15" s="10"/>
      <c r="D15" s="11"/>
      <c r="E15" s="12"/>
      <c r="F15" s="145">
        <v>2</v>
      </c>
      <c r="G15" s="66">
        <v>9</v>
      </c>
      <c r="H15" s="145">
        <f t="shared" si="0"/>
        <v>2</v>
      </c>
      <c r="I15" s="66">
        <f t="shared" si="1"/>
        <v>7</v>
      </c>
      <c r="J15" s="50">
        <f>7-K15</f>
        <v>3</v>
      </c>
      <c r="K15" s="66">
        <v>4</v>
      </c>
      <c r="L15" s="50">
        <f t="shared" si="2"/>
        <v>2</v>
      </c>
      <c r="M15" s="50">
        <v>2</v>
      </c>
    </row>
    <row r="16" spans="1:13" ht="17.100000000000001" customHeight="1" x14ac:dyDescent="0.25">
      <c r="A16" s="13" t="s">
        <v>13</v>
      </c>
      <c r="B16" s="13"/>
      <c r="C16" s="6"/>
      <c r="D16" s="7"/>
      <c r="E16" s="15"/>
      <c r="F16" s="146">
        <v>93</v>
      </c>
      <c r="G16" s="65">
        <v>363</v>
      </c>
      <c r="H16" s="146">
        <f t="shared" si="0"/>
        <v>84</v>
      </c>
      <c r="I16" s="65">
        <f t="shared" si="1"/>
        <v>279</v>
      </c>
      <c r="J16" s="52">
        <f>279-K16</f>
        <v>88</v>
      </c>
      <c r="K16" s="65">
        <v>191</v>
      </c>
      <c r="L16" s="52">
        <f t="shared" si="2"/>
        <v>90</v>
      </c>
      <c r="M16" s="52">
        <f>M14+M15</f>
        <v>101</v>
      </c>
    </row>
    <row r="17" spans="1:13" ht="17.100000000000001" customHeight="1" x14ac:dyDescent="0.25">
      <c r="A17" s="10" t="s">
        <v>14</v>
      </c>
      <c r="B17" s="10"/>
      <c r="C17" s="10"/>
      <c r="D17" s="11"/>
      <c r="E17" s="12"/>
      <c r="F17" s="145">
        <v>-1</v>
      </c>
      <c r="G17" s="66">
        <v>-5</v>
      </c>
      <c r="H17" s="145">
        <f t="shared" si="0"/>
        <v>-2</v>
      </c>
      <c r="I17" s="66">
        <f t="shared" si="1"/>
        <v>-3</v>
      </c>
      <c r="J17" s="50">
        <f>-1</f>
        <v>-1</v>
      </c>
      <c r="K17" s="66">
        <v>-2</v>
      </c>
      <c r="L17" s="50">
        <f t="shared" si="2"/>
        <v>-1</v>
      </c>
      <c r="M17" s="50">
        <v>-1</v>
      </c>
    </row>
    <row r="18" spans="1:13" ht="17.100000000000001" customHeight="1" x14ac:dyDescent="0.25">
      <c r="A18" s="13" t="s">
        <v>15</v>
      </c>
      <c r="B18" s="13"/>
      <c r="C18" s="6"/>
      <c r="D18" s="7"/>
      <c r="E18" s="19"/>
      <c r="F18" s="146">
        <v>92</v>
      </c>
      <c r="G18" s="65">
        <v>358</v>
      </c>
      <c r="H18" s="146">
        <f t="shared" si="0"/>
        <v>82</v>
      </c>
      <c r="I18" s="65">
        <f t="shared" si="1"/>
        <v>276</v>
      </c>
      <c r="J18" s="52">
        <f>276-K18</f>
        <v>87</v>
      </c>
      <c r="K18" s="65">
        <v>189</v>
      </c>
      <c r="L18" s="52">
        <f t="shared" si="2"/>
        <v>89</v>
      </c>
      <c r="M18" s="52">
        <f>M16+M17</f>
        <v>100</v>
      </c>
    </row>
    <row r="19" spans="1:13" ht="17.100000000000001" customHeight="1" x14ac:dyDescent="0.25">
      <c r="A19" s="10" t="s">
        <v>16</v>
      </c>
      <c r="B19" s="10"/>
      <c r="C19" s="10"/>
      <c r="D19" s="21"/>
      <c r="E19" s="12"/>
      <c r="F19" s="145">
        <v>-25</v>
      </c>
      <c r="G19" s="66">
        <v>-104</v>
      </c>
      <c r="H19" s="145">
        <f t="shared" si="0"/>
        <v>-26</v>
      </c>
      <c r="I19" s="66">
        <f t="shared" si="1"/>
        <v>-78</v>
      </c>
      <c r="J19" s="50">
        <f>-78-K19</f>
        <v>-25</v>
      </c>
      <c r="K19" s="66">
        <v>-53</v>
      </c>
      <c r="L19" s="50">
        <f t="shared" si="2"/>
        <v>-24</v>
      </c>
      <c r="M19" s="50">
        <v>-29</v>
      </c>
    </row>
    <row r="20" spans="1:13" ht="17.100000000000001" customHeight="1" x14ac:dyDescent="0.25">
      <c r="A20" s="13" t="s">
        <v>17</v>
      </c>
      <c r="B20" s="13"/>
      <c r="C20" s="41"/>
      <c r="D20" s="11"/>
      <c r="E20" s="33"/>
      <c r="F20" s="52">
        <v>67</v>
      </c>
      <c r="G20" s="65">
        <v>254</v>
      </c>
      <c r="H20" s="52">
        <f t="shared" si="0"/>
        <v>56</v>
      </c>
      <c r="I20" s="65">
        <f t="shared" si="1"/>
        <v>198</v>
      </c>
      <c r="J20" s="53">
        <f>198-K20</f>
        <v>62</v>
      </c>
      <c r="K20" s="65">
        <v>136</v>
      </c>
      <c r="L20" s="53">
        <f t="shared" si="2"/>
        <v>65</v>
      </c>
      <c r="M20" s="53">
        <f>M18+M19</f>
        <v>71</v>
      </c>
    </row>
    <row r="21" spans="1:13" ht="17.100000000000001" customHeight="1" x14ac:dyDescent="0.25">
      <c r="A21" s="3"/>
      <c r="B21" s="3"/>
      <c r="C21" s="9"/>
      <c r="D21" s="22"/>
      <c r="E21" s="17"/>
      <c r="F21" s="17"/>
      <c r="G21" s="75"/>
      <c r="H21" s="17"/>
      <c r="I21" s="75"/>
      <c r="J21" s="17"/>
      <c r="K21" s="75"/>
      <c r="L21" s="17"/>
      <c r="M21" s="17"/>
    </row>
    <row r="22" spans="1:13" ht="17.100000000000001" customHeight="1" x14ac:dyDescent="0.25">
      <c r="A22" s="13" t="s">
        <v>18</v>
      </c>
      <c r="B22" s="13"/>
      <c r="C22" s="6"/>
      <c r="D22" s="29"/>
      <c r="E22" s="19"/>
      <c r="F22" s="19"/>
      <c r="G22" s="76"/>
      <c r="H22" s="19"/>
      <c r="I22" s="76"/>
      <c r="J22" s="19"/>
      <c r="K22" s="76"/>
      <c r="L22" s="19"/>
      <c r="M22" s="19"/>
    </row>
    <row r="23" spans="1:13" ht="17.100000000000001" customHeight="1" x14ac:dyDescent="0.25">
      <c r="A23" s="152" t="s">
        <v>19</v>
      </c>
      <c r="B23" s="153"/>
      <c r="C23" s="153"/>
      <c r="D23" s="154"/>
      <c r="E23" s="30"/>
      <c r="F23" s="50">
        <v>0</v>
      </c>
      <c r="G23" s="66">
        <v>1</v>
      </c>
      <c r="H23" s="50">
        <f t="shared" si="0"/>
        <v>0</v>
      </c>
      <c r="I23" s="66">
        <f t="shared" si="1"/>
        <v>1</v>
      </c>
      <c r="J23" s="50">
        <v>1</v>
      </c>
      <c r="K23" s="66">
        <v>0</v>
      </c>
      <c r="L23" s="50">
        <f t="shared" si="2"/>
        <v>0</v>
      </c>
      <c r="M23" s="50">
        <v>0</v>
      </c>
    </row>
    <row r="24" spans="1:13" ht="17.100000000000001" customHeight="1" x14ac:dyDescent="0.25">
      <c r="A24" s="6" t="s">
        <v>20</v>
      </c>
      <c r="B24" s="6"/>
      <c r="C24" s="6"/>
      <c r="D24" s="7"/>
      <c r="E24" s="19"/>
      <c r="F24" s="51">
        <v>67</v>
      </c>
      <c r="G24" s="66">
        <v>253</v>
      </c>
      <c r="H24" s="51">
        <f t="shared" si="0"/>
        <v>56</v>
      </c>
      <c r="I24" s="66">
        <f t="shared" si="1"/>
        <v>197</v>
      </c>
      <c r="J24" s="51">
        <f>197-K24</f>
        <v>61</v>
      </c>
      <c r="K24" s="66">
        <v>136</v>
      </c>
      <c r="L24" s="51">
        <f t="shared" si="2"/>
        <v>65</v>
      </c>
      <c r="M24" s="51">
        <v>71</v>
      </c>
    </row>
    <row r="25" spans="1:13" ht="17.100000000000001" customHeight="1" x14ac:dyDescent="0.25">
      <c r="A25" s="9"/>
      <c r="B25" s="9"/>
      <c r="C25" s="9"/>
      <c r="D25" s="22"/>
      <c r="E25" s="17"/>
      <c r="F25" s="17"/>
      <c r="G25" s="75"/>
      <c r="H25" s="17"/>
      <c r="I25" s="75"/>
      <c r="J25" s="17"/>
      <c r="K25" s="75"/>
      <c r="L25" s="17"/>
      <c r="M25" s="17"/>
    </row>
    <row r="26" spans="1:13" ht="17.100000000000001" customHeight="1" x14ac:dyDescent="0.25">
      <c r="A26" s="27" t="s">
        <v>21</v>
      </c>
      <c r="B26" s="27"/>
      <c r="C26" s="28"/>
      <c r="D26" s="29"/>
      <c r="E26" s="19"/>
      <c r="F26" s="19"/>
      <c r="G26" s="76"/>
      <c r="H26" s="19"/>
      <c r="I26" s="76"/>
      <c r="J26" s="19"/>
      <c r="K26" s="76"/>
      <c r="L26" s="19"/>
      <c r="M26" s="19"/>
    </row>
    <row r="27" spans="1:13" ht="17.100000000000001" customHeight="1" x14ac:dyDescent="0.25">
      <c r="A27" s="31" t="s">
        <v>22</v>
      </c>
      <c r="B27" s="31"/>
      <c r="C27" s="31"/>
      <c r="D27" s="32"/>
      <c r="E27" s="30"/>
      <c r="F27" s="128">
        <v>0.48</v>
      </c>
      <c r="G27" s="77">
        <v>1.82</v>
      </c>
      <c r="H27" s="128">
        <f>G27-I27</f>
        <v>0.40000000000000013</v>
      </c>
      <c r="I27" s="77">
        <f t="shared" si="1"/>
        <v>1.42</v>
      </c>
      <c r="J27" s="55">
        <f>1.42-K27</f>
        <v>0.44999999999999996</v>
      </c>
      <c r="K27" s="77">
        <v>0.97</v>
      </c>
      <c r="L27" s="55">
        <f t="shared" si="2"/>
        <v>0.45999999999999996</v>
      </c>
      <c r="M27" s="55">
        <v>0.51</v>
      </c>
    </row>
    <row r="28" spans="1:13" ht="17.100000000000001" customHeight="1" x14ac:dyDescent="0.25">
      <c r="A28" s="31" t="s">
        <v>23</v>
      </c>
      <c r="B28" s="31"/>
      <c r="C28" s="31"/>
      <c r="D28" s="29"/>
      <c r="E28" s="33"/>
      <c r="F28" s="128">
        <v>0.48</v>
      </c>
      <c r="G28" s="77">
        <v>1.83</v>
      </c>
      <c r="H28" s="128">
        <f t="shared" si="0"/>
        <v>0.41000000000000014</v>
      </c>
      <c r="I28" s="77">
        <f t="shared" si="1"/>
        <v>1.42</v>
      </c>
      <c r="J28" s="55">
        <f>1.42-K28</f>
        <v>0.43999999999999995</v>
      </c>
      <c r="K28" s="77">
        <v>0.98</v>
      </c>
      <c r="L28" s="55">
        <f t="shared" si="2"/>
        <v>0.47</v>
      </c>
      <c r="M28" s="55">
        <v>0.51</v>
      </c>
    </row>
    <row r="29" spans="1:13" ht="17.100000000000001" customHeight="1" x14ac:dyDescent="0.25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42"/>
      <c r="L29" s="42"/>
      <c r="M29" s="17"/>
    </row>
    <row r="30" spans="1:13" ht="16.5" customHeight="1" x14ac:dyDescent="0.25">
      <c r="A30" s="74" t="s">
        <v>47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</row>
    <row r="31" spans="1:13" ht="16.5" customHeight="1" x14ac:dyDescent="0.25">
      <c r="A31" s="49"/>
      <c r="B31" s="49"/>
      <c r="C31" s="49"/>
      <c r="D31" s="59"/>
      <c r="E31" s="9"/>
      <c r="F31" s="9"/>
      <c r="G31" s="9"/>
      <c r="H31" s="9"/>
      <c r="I31" s="9"/>
      <c r="J31" s="9"/>
      <c r="K31" s="9"/>
      <c r="L31" s="9"/>
      <c r="M31" s="9"/>
    </row>
    <row r="32" spans="1:13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40" spans="1:1" x14ac:dyDescent="0.25">
      <c r="A40" s="16"/>
    </row>
    <row r="41" spans="1:1" x14ac:dyDescent="0.25">
      <c r="A41" s="16"/>
    </row>
  </sheetData>
  <mergeCells count="4">
    <mergeCell ref="A1:M1"/>
    <mergeCell ref="A2:M2"/>
    <mergeCell ref="A3:M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4"/>
  <sheetViews>
    <sheetView zoomScale="85" zoomScaleNormal="85" zoomScaleSheetLayoutView="70" workbookViewId="0">
      <pane xSplit="1" topLeftCell="B1" activePane="topRight" state="frozen"/>
      <selection activeCell="B4" sqref="B4"/>
      <selection pane="topRight" activeCell="K12" sqref="K12"/>
    </sheetView>
  </sheetViews>
  <sheetFormatPr baseColWidth="10" defaultColWidth="11.44140625" defaultRowHeight="13.2" x14ac:dyDescent="0.25"/>
  <cols>
    <col min="1" max="1" width="24.109375" style="2" customWidth="1"/>
    <col min="2" max="3" width="14.44140625" style="2" customWidth="1"/>
    <col min="4" max="7" width="14.44140625" style="1" customWidth="1"/>
    <col min="8" max="11" width="14.44140625" style="2" customWidth="1"/>
    <col min="12" max="16384" width="11.44140625" style="2"/>
  </cols>
  <sheetData>
    <row r="1" spans="1:11" ht="17.399999999999999" x14ac:dyDescent="0.3">
      <c r="A1" s="149" t="s">
        <v>0</v>
      </c>
      <c r="B1" s="149"/>
      <c r="C1" s="149"/>
      <c r="H1" s="49"/>
      <c r="I1" s="49"/>
      <c r="J1" s="49"/>
      <c r="K1" s="49"/>
    </row>
    <row r="2" spans="1:11" ht="15.6" x14ac:dyDescent="0.3">
      <c r="A2" s="150" t="s">
        <v>24</v>
      </c>
      <c r="B2" s="150"/>
      <c r="C2" s="150"/>
      <c r="D2" s="157"/>
      <c r="E2" s="157"/>
      <c r="H2" s="49"/>
      <c r="I2" s="49"/>
      <c r="J2" s="49"/>
      <c r="K2" s="49"/>
    </row>
    <row r="3" spans="1:11" ht="15.6" x14ac:dyDescent="0.3">
      <c r="A3" s="147"/>
      <c r="B3" s="147"/>
      <c r="C3" s="147"/>
      <c r="D3" s="148"/>
      <c r="E3" s="148"/>
      <c r="H3" s="49"/>
      <c r="I3" s="49"/>
      <c r="J3" s="49"/>
      <c r="K3" s="49"/>
    </row>
    <row r="4" spans="1:11" ht="15.6" x14ac:dyDescent="0.3">
      <c r="A4" s="147"/>
      <c r="B4" s="147"/>
      <c r="C4" s="147"/>
      <c r="D4" s="148"/>
      <c r="E4" s="148"/>
      <c r="H4" s="49"/>
      <c r="I4" s="49"/>
      <c r="J4" s="49"/>
      <c r="K4" s="49"/>
    </row>
    <row r="5" spans="1:11" ht="14.4" thickBot="1" x14ac:dyDescent="0.3">
      <c r="A5" s="136" t="s">
        <v>66</v>
      </c>
      <c r="B5" s="112"/>
      <c r="C5" s="112"/>
      <c r="D5" s="68"/>
      <c r="E5" s="68"/>
      <c r="F5" s="68"/>
      <c r="G5" s="68"/>
      <c r="H5" s="67"/>
      <c r="I5" s="67"/>
      <c r="J5" s="67"/>
      <c r="K5" s="67"/>
    </row>
    <row r="6" spans="1:11" ht="15" customHeight="1" x14ac:dyDescent="0.25">
      <c r="A6" s="26" t="s">
        <v>2</v>
      </c>
      <c r="B6" s="70" t="s">
        <v>66</v>
      </c>
      <c r="C6" s="71" t="s">
        <v>54</v>
      </c>
      <c r="D6" s="158" t="s">
        <v>25</v>
      </c>
      <c r="E6" s="159"/>
      <c r="F6" s="160" t="s">
        <v>26</v>
      </c>
      <c r="G6" s="156"/>
      <c r="H6" s="155" t="s">
        <v>27</v>
      </c>
      <c r="I6" s="156"/>
      <c r="J6" s="155" t="s">
        <v>28</v>
      </c>
      <c r="K6" s="156"/>
    </row>
    <row r="7" spans="1:11" ht="13.8" x14ac:dyDescent="0.25">
      <c r="A7" s="10" t="s">
        <v>42</v>
      </c>
      <c r="B7" s="78">
        <v>481</v>
      </c>
      <c r="C7" s="50">
        <v>419</v>
      </c>
      <c r="D7" s="89">
        <f>B7-C7</f>
        <v>62</v>
      </c>
      <c r="E7" s="90">
        <f>D7/C7</f>
        <v>0.14797136038186157</v>
      </c>
      <c r="F7" s="80">
        <v>60</v>
      </c>
      <c r="G7" s="81">
        <f>F7/C7</f>
        <v>0.14319809069212411</v>
      </c>
      <c r="H7" s="105">
        <v>1</v>
      </c>
      <c r="I7" s="81">
        <f t="shared" ref="I7:I8" si="0">H7/C7</f>
        <v>2.3866348448687352E-3</v>
      </c>
      <c r="J7" s="43">
        <v>1</v>
      </c>
      <c r="K7" s="88">
        <f>J7/C7</f>
        <v>2.3866348448687352E-3</v>
      </c>
    </row>
    <row r="8" spans="1:11" ht="13.8" x14ac:dyDescent="0.25">
      <c r="A8" s="10" t="s">
        <v>43</v>
      </c>
      <c r="B8" s="78">
        <v>237</v>
      </c>
      <c r="C8" s="50">
        <v>213</v>
      </c>
      <c r="D8" s="91">
        <f>B8-C8</f>
        <v>24</v>
      </c>
      <c r="E8" s="90">
        <f>D8/C8</f>
        <v>0.11267605633802817</v>
      </c>
      <c r="F8" s="80">
        <v>10</v>
      </c>
      <c r="G8" s="81">
        <f>F8/C8</f>
        <v>4.6948356807511735E-2</v>
      </c>
      <c r="H8" s="105">
        <v>0</v>
      </c>
      <c r="I8" s="81">
        <f t="shared" si="0"/>
        <v>0</v>
      </c>
      <c r="J8" s="43">
        <v>14</v>
      </c>
      <c r="K8" s="88">
        <v>0.06</v>
      </c>
    </row>
    <row r="9" spans="1:11" ht="13.8" x14ac:dyDescent="0.25">
      <c r="A9" s="6" t="s">
        <v>29</v>
      </c>
      <c r="B9" s="78">
        <v>141</v>
      </c>
      <c r="C9" s="50">
        <v>111</v>
      </c>
      <c r="D9" s="95">
        <f>B9-C9</f>
        <v>30</v>
      </c>
      <c r="E9" s="90">
        <f>D9/C9</f>
        <v>0.27027027027027029</v>
      </c>
      <c r="F9" s="80">
        <v>20</v>
      </c>
      <c r="G9" s="81">
        <f>F9/C9</f>
        <v>0.18018018018018017</v>
      </c>
      <c r="H9" s="105">
        <v>0</v>
      </c>
      <c r="I9" s="81">
        <f>H9/C9</f>
        <v>0</v>
      </c>
      <c r="J9" s="43">
        <v>10</v>
      </c>
      <c r="K9" s="88">
        <f>J9/C9</f>
        <v>9.0090090090090086E-2</v>
      </c>
    </row>
    <row r="10" spans="1:11" ht="13.8" x14ac:dyDescent="0.25">
      <c r="A10" s="10" t="s">
        <v>30</v>
      </c>
      <c r="B10" s="78">
        <v>-51</v>
      </c>
      <c r="C10" s="50">
        <v>-46</v>
      </c>
      <c r="D10" s="94">
        <f>B10-C10</f>
        <v>-5</v>
      </c>
      <c r="E10" s="102" t="s">
        <v>31</v>
      </c>
      <c r="F10" s="133">
        <v>-5</v>
      </c>
      <c r="G10" s="103" t="s">
        <v>31</v>
      </c>
      <c r="H10" s="123" t="s">
        <v>31</v>
      </c>
      <c r="I10" s="103" t="s">
        <v>31</v>
      </c>
      <c r="J10" s="123" t="s">
        <v>31</v>
      </c>
      <c r="K10" s="106" t="s">
        <v>31</v>
      </c>
    </row>
    <row r="11" spans="1:11" ht="14.4" thickBot="1" x14ac:dyDescent="0.3">
      <c r="A11" s="13" t="s">
        <v>32</v>
      </c>
      <c r="B11" s="79">
        <v>808</v>
      </c>
      <c r="C11" s="73">
        <v>697</v>
      </c>
      <c r="D11" s="92">
        <f t="shared" ref="D11" si="1">SUM(D7:D10)</f>
        <v>111</v>
      </c>
      <c r="E11" s="93">
        <f>D11/C11</f>
        <v>0.15925394548063126</v>
      </c>
      <c r="F11" s="124">
        <v>85</v>
      </c>
      <c r="G11" s="84">
        <f>F11/C11</f>
        <v>0.12195121951219512</v>
      </c>
      <c r="H11" s="125">
        <f t="shared" ref="H11" si="2">SUM(H7:H10)</f>
        <v>1</v>
      </c>
      <c r="I11" s="84">
        <f>H11/B11</f>
        <v>1.2376237623762376E-3</v>
      </c>
      <c r="J11" s="54">
        <f>SUM(J7:J10)</f>
        <v>25</v>
      </c>
      <c r="K11" s="84">
        <v>0.16</v>
      </c>
    </row>
    <row r="12" spans="1:11" ht="13.8" x14ac:dyDescent="0.25">
      <c r="A12" s="3"/>
      <c r="B12" s="129"/>
      <c r="C12" s="129"/>
      <c r="D12" s="129"/>
      <c r="E12" s="132"/>
      <c r="F12" s="129"/>
      <c r="G12" s="132"/>
      <c r="H12" s="130"/>
      <c r="I12" s="132"/>
      <c r="J12" s="131"/>
      <c r="K12" s="132"/>
    </row>
    <row r="13" spans="1:11" ht="15.6" x14ac:dyDescent="0.3">
      <c r="A13" s="126"/>
      <c r="B13" s="147"/>
      <c r="C13" s="147"/>
      <c r="D13" s="148"/>
      <c r="E13" s="148"/>
      <c r="H13" s="49"/>
      <c r="I13" s="49"/>
      <c r="J13" s="49"/>
      <c r="K13" s="49"/>
    </row>
    <row r="14" spans="1:11" ht="14.4" thickBot="1" x14ac:dyDescent="0.3">
      <c r="A14" s="136" t="s">
        <v>63</v>
      </c>
      <c r="B14" s="112"/>
      <c r="C14" s="112"/>
      <c r="D14" s="68"/>
      <c r="E14" s="68"/>
      <c r="F14" s="68"/>
      <c r="G14" s="68"/>
      <c r="H14" s="67"/>
      <c r="I14" s="67"/>
      <c r="J14" s="67"/>
      <c r="K14" s="67"/>
    </row>
    <row r="15" spans="1:11" ht="15" customHeight="1" x14ac:dyDescent="0.25">
      <c r="A15" s="26" t="s">
        <v>2</v>
      </c>
      <c r="B15" s="70" t="s">
        <v>62</v>
      </c>
      <c r="C15" s="71" t="s">
        <v>53</v>
      </c>
      <c r="D15" s="158" t="s">
        <v>25</v>
      </c>
      <c r="E15" s="159"/>
      <c r="F15" s="160" t="s">
        <v>26</v>
      </c>
      <c r="G15" s="156"/>
      <c r="H15" s="155" t="s">
        <v>27</v>
      </c>
      <c r="I15" s="156"/>
      <c r="J15" s="155" t="s">
        <v>28</v>
      </c>
      <c r="K15" s="156"/>
    </row>
    <row r="16" spans="1:11" ht="13.8" x14ac:dyDescent="0.25">
      <c r="A16" s="10" t="s">
        <v>42</v>
      </c>
      <c r="B16" s="78">
        <v>1710</v>
      </c>
      <c r="C16" s="50">
        <v>1446</v>
      </c>
      <c r="D16" s="89">
        <f>B16-C16</f>
        <v>264</v>
      </c>
      <c r="E16" s="90">
        <f>D16/C16</f>
        <v>0.18257261410788381</v>
      </c>
      <c r="F16" s="80">
        <v>253</v>
      </c>
      <c r="G16" s="81">
        <f>F16/C16</f>
        <v>0.17496542185338865</v>
      </c>
      <c r="H16" s="105">
        <v>3</v>
      </c>
      <c r="I16" s="81">
        <f t="shared" ref="I16:I17" si="3">H16/C16</f>
        <v>2.0746887966804979E-3</v>
      </c>
      <c r="J16" s="43">
        <v>8</v>
      </c>
      <c r="K16" s="88">
        <f>J16/C16</f>
        <v>5.5325034578146614E-3</v>
      </c>
    </row>
    <row r="17" spans="1:11" ht="13.8" x14ac:dyDescent="0.25">
      <c r="A17" s="10" t="s">
        <v>43</v>
      </c>
      <c r="B17" s="78">
        <v>855</v>
      </c>
      <c r="C17" s="50">
        <v>698</v>
      </c>
      <c r="D17" s="91">
        <f>B17-C17</f>
        <v>157</v>
      </c>
      <c r="E17" s="90">
        <f>D17/C17</f>
        <v>0.22492836676217765</v>
      </c>
      <c r="F17" s="80">
        <v>133</v>
      </c>
      <c r="G17" s="81">
        <f>F17/C17</f>
        <v>0.19054441260744986</v>
      </c>
      <c r="H17" s="105">
        <v>0</v>
      </c>
      <c r="I17" s="81">
        <f t="shared" si="3"/>
        <v>0</v>
      </c>
      <c r="J17" s="43">
        <v>24</v>
      </c>
      <c r="K17" s="88">
        <f>J17/C17</f>
        <v>3.4383954154727794E-2</v>
      </c>
    </row>
    <row r="18" spans="1:11" ht="13.8" x14ac:dyDescent="0.25">
      <c r="A18" s="6" t="s">
        <v>29</v>
      </c>
      <c r="B18" s="78">
        <v>471</v>
      </c>
      <c r="C18" s="50">
        <v>387</v>
      </c>
      <c r="D18" s="95">
        <f>B18-C18</f>
        <v>84</v>
      </c>
      <c r="E18" s="90">
        <f>D18/C18</f>
        <v>0.21705426356589147</v>
      </c>
      <c r="F18" s="80">
        <v>96</v>
      </c>
      <c r="G18" s="81">
        <f>F18/C18</f>
        <v>0.24806201550387597</v>
      </c>
      <c r="H18" s="105">
        <v>12</v>
      </c>
      <c r="I18" s="81">
        <f>H18/C18</f>
        <v>3.1007751937984496E-2</v>
      </c>
      <c r="J18" s="43">
        <v>-24</v>
      </c>
      <c r="K18" s="88">
        <f>J18/C18</f>
        <v>-6.2015503875968991E-2</v>
      </c>
    </row>
    <row r="19" spans="1:11" ht="13.8" x14ac:dyDescent="0.25">
      <c r="A19" s="10" t="s">
        <v>30</v>
      </c>
      <c r="B19" s="78">
        <v>-165</v>
      </c>
      <c r="C19" s="50">
        <v>-153</v>
      </c>
      <c r="D19" s="94">
        <f>B19-C19</f>
        <v>-12</v>
      </c>
      <c r="E19" s="102" t="s">
        <v>31</v>
      </c>
      <c r="F19" s="133">
        <v>-12</v>
      </c>
      <c r="G19" s="103" t="s">
        <v>31</v>
      </c>
      <c r="H19" s="123" t="s">
        <v>31</v>
      </c>
      <c r="I19" s="103" t="s">
        <v>31</v>
      </c>
      <c r="J19" s="123" t="s">
        <v>31</v>
      </c>
      <c r="K19" s="106" t="s">
        <v>31</v>
      </c>
    </row>
    <row r="20" spans="1:11" ht="14.4" thickBot="1" x14ac:dyDescent="0.3">
      <c r="A20" s="13" t="s">
        <v>32</v>
      </c>
      <c r="B20" s="79">
        <f>SUM(B16:B19)</f>
        <v>2871</v>
      </c>
      <c r="C20" s="73">
        <f t="shared" ref="C20:H20" si="4">SUM(C16:C19)</f>
        <v>2378</v>
      </c>
      <c r="D20" s="92">
        <f t="shared" si="4"/>
        <v>493</v>
      </c>
      <c r="E20" s="93">
        <f>D20/C20</f>
        <v>0.2073170731707317</v>
      </c>
      <c r="F20" s="124">
        <f t="shared" si="4"/>
        <v>470</v>
      </c>
      <c r="G20" s="84">
        <f>F20/C20</f>
        <v>0.19764507989907484</v>
      </c>
      <c r="H20" s="125">
        <f t="shared" si="4"/>
        <v>15</v>
      </c>
      <c r="I20" s="84">
        <f>H20/B20</f>
        <v>5.2246603970741903E-3</v>
      </c>
      <c r="J20" s="54">
        <f>SUM(J16:J19)</f>
        <v>8</v>
      </c>
      <c r="K20" s="84">
        <f>SUM(K16:K19)</f>
        <v>-2.2099046263426535E-2</v>
      </c>
    </row>
    <row r="21" spans="1:11" ht="13.8" x14ac:dyDescent="0.25">
      <c r="A21" s="3"/>
      <c r="B21" s="129"/>
      <c r="C21" s="129"/>
      <c r="D21" s="129"/>
      <c r="E21" s="132"/>
      <c r="F21" s="129"/>
      <c r="G21" s="132"/>
      <c r="H21" s="130"/>
      <c r="I21" s="132"/>
      <c r="J21" s="131"/>
      <c r="K21" s="132"/>
    </row>
    <row r="22" spans="1:11" ht="15.6" x14ac:dyDescent="0.3">
      <c r="A22" s="126"/>
      <c r="B22" s="126"/>
      <c r="C22" s="126"/>
      <c r="D22" s="127"/>
      <c r="E22" s="127"/>
      <c r="H22" s="49"/>
      <c r="I22" s="49"/>
      <c r="J22" s="49"/>
      <c r="K22" s="49"/>
    </row>
    <row r="23" spans="1:11" ht="14.4" thickBot="1" x14ac:dyDescent="0.3">
      <c r="A23" s="111" t="s">
        <v>61</v>
      </c>
      <c r="B23" s="112"/>
      <c r="C23" s="112"/>
      <c r="D23" s="68"/>
      <c r="E23" s="68"/>
      <c r="F23" s="68"/>
      <c r="G23" s="68"/>
      <c r="H23" s="67"/>
      <c r="I23" s="67"/>
      <c r="J23" s="67"/>
      <c r="K23" s="67"/>
    </row>
    <row r="24" spans="1:11" ht="15" customHeight="1" x14ac:dyDescent="0.25">
      <c r="A24" s="26" t="s">
        <v>2</v>
      </c>
      <c r="B24" s="70" t="s">
        <v>64</v>
      </c>
      <c r="C24" s="71" t="s">
        <v>48</v>
      </c>
      <c r="D24" s="158" t="s">
        <v>25</v>
      </c>
      <c r="E24" s="159"/>
      <c r="F24" s="160" t="s">
        <v>26</v>
      </c>
      <c r="G24" s="156"/>
      <c r="H24" s="155" t="s">
        <v>27</v>
      </c>
      <c r="I24" s="156"/>
      <c r="J24" s="155" t="s">
        <v>28</v>
      </c>
      <c r="K24" s="156"/>
    </row>
    <row r="25" spans="1:11" ht="13.8" x14ac:dyDescent="0.25">
      <c r="A25" s="10" t="s">
        <v>42</v>
      </c>
      <c r="B25" s="78">
        <f>B16-B34</f>
        <v>434</v>
      </c>
      <c r="C25" s="50">
        <f>C16-C34</f>
        <v>386</v>
      </c>
      <c r="D25" s="89">
        <f>D16-D34</f>
        <v>48</v>
      </c>
      <c r="E25" s="90">
        <f>D25/C25</f>
        <v>0.12435233160621761</v>
      </c>
      <c r="F25" s="80">
        <f>F16-F34</f>
        <v>41</v>
      </c>
      <c r="G25" s="81">
        <f>F25/C25</f>
        <v>0.10621761658031088</v>
      </c>
      <c r="H25" s="105">
        <f>H16-H34</f>
        <v>1</v>
      </c>
      <c r="I25" s="81">
        <f>H25/C25</f>
        <v>2.5906735751295338E-3</v>
      </c>
      <c r="J25" s="43">
        <f>J16-J34</f>
        <v>6</v>
      </c>
      <c r="K25" s="88">
        <f>J25/C25</f>
        <v>1.5544041450777202E-2</v>
      </c>
    </row>
    <row r="26" spans="1:11" ht="13.8" x14ac:dyDescent="0.25">
      <c r="A26" s="10" t="s">
        <v>43</v>
      </c>
      <c r="B26" s="78">
        <f t="shared" ref="B26:D28" si="5">B17-B35</f>
        <v>218</v>
      </c>
      <c r="C26" s="50">
        <f t="shared" si="5"/>
        <v>189</v>
      </c>
      <c r="D26" s="89">
        <f t="shared" si="5"/>
        <v>29</v>
      </c>
      <c r="E26" s="90">
        <f>D26/C26</f>
        <v>0.15343915343915343</v>
      </c>
      <c r="F26" s="80">
        <f t="shared" ref="F26:F28" si="6">F17-F35</f>
        <v>16</v>
      </c>
      <c r="G26" s="81">
        <f>F26/C26</f>
        <v>8.4656084656084651E-2</v>
      </c>
      <c r="H26" s="105">
        <f t="shared" ref="H26:H27" si="7">H17-H35</f>
        <v>0</v>
      </c>
      <c r="I26" s="81">
        <f t="shared" ref="I26" si="8">H26/C26</f>
        <v>0</v>
      </c>
      <c r="J26" s="43">
        <f t="shared" ref="J26:J27" si="9">J17-J35</f>
        <v>13</v>
      </c>
      <c r="K26" s="88">
        <f>J26/C26</f>
        <v>6.8783068783068779E-2</v>
      </c>
    </row>
    <row r="27" spans="1:11" ht="13.8" x14ac:dyDescent="0.25">
      <c r="A27" s="6" t="s">
        <v>29</v>
      </c>
      <c r="B27" s="78">
        <f t="shared" si="5"/>
        <v>127</v>
      </c>
      <c r="C27" s="50">
        <f t="shared" si="5"/>
        <v>106</v>
      </c>
      <c r="D27" s="89">
        <f t="shared" si="5"/>
        <v>21</v>
      </c>
      <c r="E27" s="90">
        <f>D27/C27</f>
        <v>0.19811320754716982</v>
      </c>
      <c r="F27" s="80">
        <f t="shared" si="6"/>
        <v>18</v>
      </c>
      <c r="G27" s="81">
        <f>F27/C27</f>
        <v>0.16981132075471697</v>
      </c>
      <c r="H27" s="105">
        <f t="shared" si="7"/>
        <v>1</v>
      </c>
      <c r="I27" s="81">
        <f>H27/C27</f>
        <v>9.433962264150943E-3</v>
      </c>
      <c r="J27" s="43">
        <f t="shared" si="9"/>
        <v>2</v>
      </c>
      <c r="K27" s="88">
        <f>J27/C27</f>
        <v>1.8867924528301886E-2</v>
      </c>
    </row>
    <row r="28" spans="1:11" ht="13.8" x14ac:dyDescent="0.25">
      <c r="A28" s="10" t="s">
        <v>30</v>
      </c>
      <c r="B28" s="78">
        <f t="shared" si="5"/>
        <v>-37</v>
      </c>
      <c r="C28" s="50">
        <f t="shared" si="5"/>
        <v>-43</v>
      </c>
      <c r="D28" s="89">
        <f t="shared" si="5"/>
        <v>6</v>
      </c>
      <c r="E28" s="102" t="s">
        <v>31</v>
      </c>
      <c r="F28" s="80">
        <f t="shared" si="6"/>
        <v>6</v>
      </c>
      <c r="G28" s="103" t="s">
        <v>31</v>
      </c>
      <c r="H28" s="123" t="s">
        <v>31</v>
      </c>
      <c r="I28" s="103" t="s">
        <v>31</v>
      </c>
      <c r="J28" s="123" t="s">
        <v>31</v>
      </c>
      <c r="K28" s="106" t="s">
        <v>31</v>
      </c>
    </row>
    <row r="29" spans="1:11" ht="14.4" thickBot="1" x14ac:dyDescent="0.3">
      <c r="A29" s="13" t="s">
        <v>32</v>
      </c>
      <c r="B29" s="79">
        <f>SUM(B25:B28)</f>
        <v>742</v>
      </c>
      <c r="C29" s="73">
        <f>SUM(C25:C28)</f>
        <v>638</v>
      </c>
      <c r="D29" s="92">
        <f>SUM(D25:D28)</f>
        <v>104</v>
      </c>
      <c r="E29" s="93">
        <f>D29/C29</f>
        <v>0.16300940438871472</v>
      </c>
      <c r="F29" s="124">
        <f>SUM(F25:F28)</f>
        <v>81</v>
      </c>
      <c r="G29" s="84">
        <f>F29/C29</f>
        <v>0.12695924764890282</v>
      </c>
      <c r="H29" s="125">
        <f>SUM(H25:H27)</f>
        <v>2</v>
      </c>
      <c r="I29" s="84">
        <f>SUM(I25:I28)</f>
        <v>1.2024635839280477E-2</v>
      </c>
      <c r="J29" s="54">
        <f>SUM(J25:J27)</f>
        <v>21</v>
      </c>
      <c r="K29" s="84">
        <f>J29/C29</f>
        <v>3.2915360501567396E-2</v>
      </c>
    </row>
    <row r="30" spans="1:11" ht="15.6" x14ac:dyDescent="0.3">
      <c r="A30" s="120"/>
      <c r="B30" s="120"/>
      <c r="C30" s="120"/>
      <c r="D30" s="121"/>
      <c r="E30" s="121"/>
      <c r="H30" s="49"/>
      <c r="I30" s="49"/>
      <c r="J30" s="49"/>
      <c r="K30" s="49"/>
    </row>
    <row r="31" spans="1:11" ht="15.6" x14ac:dyDescent="0.3">
      <c r="A31" s="120"/>
      <c r="B31" s="120"/>
      <c r="C31" s="120"/>
      <c r="D31" s="121"/>
      <c r="E31" s="121"/>
      <c r="H31" s="49"/>
      <c r="I31" s="49"/>
      <c r="J31" s="49"/>
      <c r="K31" s="49"/>
    </row>
    <row r="32" spans="1:11" ht="14.4" thickBot="1" x14ac:dyDescent="0.3">
      <c r="A32" s="136" t="s">
        <v>60</v>
      </c>
      <c r="B32" s="112"/>
      <c r="C32" s="112"/>
      <c r="D32" s="68"/>
      <c r="E32" s="68"/>
      <c r="F32" s="68"/>
      <c r="G32" s="68"/>
      <c r="H32" s="67"/>
      <c r="I32" s="67"/>
      <c r="J32" s="67"/>
      <c r="K32" s="67"/>
    </row>
    <row r="33" spans="1:11" ht="15" customHeight="1" x14ac:dyDescent="0.25">
      <c r="A33" s="137" t="s">
        <v>2</v>
      </c>
      <c r="B33" s="70" t="s">
        <v>60</v>
      </c>
      <c r="C33" s="71" t="s">
        <v>49</v>
      </c>
      <c r="D33" s="158" t="s">
        <v>25</v>
      </c>
      <c r="E33" s="159"/>
      <c r="F33" s="160" t="s">
        <v>26</v>
      </c>
      <c r="G33" s="156"/>
      <c r="H33" s="155" t="s">
        <v>27</v>
      </c>
      <c r="I33" s="156"/>
      <c r="J33" s="155" t="s">
        <v>28</v>
      </c>
      <c r="K33" s="156"/>
    </row>
    <row r="34" spans="1:11" ht="13.8" x14ac:dyDescent="0.25">
      <c r="A34" s="138" t="s">
        <v>42</v>
      </c>
      <c r="B34" s="78">
        <f>B43+B52</f>
        <v>1276</v>
      </c>
      <c r="C34" s="50">
        <f>C43+C52</f>
        <v>1060</v>
      </c>
      <c r="D34" s="89">
        <f>B34-C34</f>
        <v>216</v>
      </c>
      <c r="E34" s="90">
        <f>D34/C34</f>
        <v>0.20377358490566039</v>
      </c>
      <c r="F34" s="80">
        <f>F43+F52</f>
        <v>212</v>
      </c>
      <c r="G34" s="81">
        <f>F34/C34</f>
        <v>0.2</v>
      </c>
      <c r="H34" s="105">
        <f>H43+H52</f>
        <v>2</v>
      </c>
      <c r="I34" s="81">
        <f t="shared" ref="I34:I35" si="10">H34/C34</f>
        <v>1.8867924528301887E-3</v>
      </c>
      <c r="J34" s="43">
        <f>J43+J52</f>
        <v>2</v>
      </c>
      <c r="K34" s="88">
        <f>J34/C34</f>
        <v>1.8867924528301887E-3</v>
      </c>
    </row>
    <row r="35" spans="1:11" ht="13.8" x14ac:dyDescent="0.25">
      <c r="A35" s="138" t="s">
        <v>43</v>
      </c>
      <c r="B35" s="78">
        <f t="shared" ref="B35:C38" si="11">B44+B53</f>
        <v>637</v>
      </c>
      <c r="C35" s="50">
        <f t="shared" si="11"/>
        <v>509</v>
      </c>
      <c r="D35" s="91">
        <f>B35-C35</f>
        <v>128</v>
      </c>
      <c r="E35" s="90">
        <f>D35/C35</f>
        <v>0.25147347740667975</v>
      </c>
      <c r="F35" s="80">
        <f t="shared" ref="F35:F38" si="12">F44+F53</f>
        <v>117</v>
      </c>
      <c r="G35" s="81">
        <f>F35/C35</f>
        <v>0.22986247544204322</v>
      </c>
      <c r="H35" s="105">
        <f t="shared" ref="H35:H38" si="13">H44+H53</f>
        <v>0</v>
      </c>
      <c r="I35" s="81">
        <f t="shared" si="10"/>
        <v>0</v>
      </c>
      <c r="J35" s="43">
        <f t="shared" ref="J35:J38" si="14">J44+J53</f>
        <v>11</v>
      </c>
      <c r="K35" s="88">
        <f>J35/C35</f>
        <v>2.1611001964636542E-2</v>
      </c>
    </row>
    <row r="36" spans="1:11" ht="13.8" x14ac:dyDescent="0.25">
      <c r="A36" s="139" t="s">
        <v>29</v>
      </c>
      <c r="B36" s="78">
        <f t="shared" si="11"/>
        <v>344</v>
      </c>
      <c r="C36" s="50">
        <f t="shared" si="11"/>
        <v>281</v>
      </c>
      <c r="D36" s="95">
        <f>B36-C36</f>
        <v>63</v>
      </c>
      <c r="E36" s="90">
        <f>D36/C36</f>
        <v>0.22419928825622776</v>
      </c>
      <c r="F36" s="80">
        <f t="shared" si="12"/>
        <v>78</v>
      </c>
      <c r="G36" s="81">
        <f>F36/C36</f>
        <v>0.27758007117437722</v>
      </c>
      <c r="H36" s="105">
        <f t="shared" si="13"/>
        <v>11</v>
      </c>
      <c r="I36" s="81">
        <f>H36/C36</f>
        <v>3.9145907473309607E-2</v>
      </c>
      <c r="J36" s="43">
        <f t="shared" si="14"/>
        <v>-26</v>
      </c>
      <c r="K36" s="88">
        <f>J36/C36</f>
        <v>-9.2526690391459068E-2</v>
      </c>
    </row>
    <row r="37" spans="1:11" ht="13.8" x14ac:dyDescent="0.25">
      <c r="A37" s="138" t="s">
        <v>30</v>
      </c>
      <c r="B37" s="78">
        <f t="shared" si="11"/>
        <v>-128</v>
      </c>
      <c r="C37" s="50">
        <f t="shared" si="11"/>
        <v>-110</v>
      </c>
      <c r="D37" s="94">
        <f>B37-C37</f>
        <v>-18</v>
      </c>
      <c r="E37" s="102" t="s">
        <v>31</v>
      </c>
      <c r="F37" s="80">
        <f t="shared" si="12"/>
        <v>-18</v>
      </c>
      <c r="G37" s="103" t="s">
        <v>31</v>
      </c>
      <c r="H37" s="123" t="s">
        <v>31</v>
      </c>
      <c r="I37" s="103" t="s">
        <v>31</v>
      </c>
      <c r="J37" s="123" t="s">
        <v>31</v>
      </c>
      <c r="K37" s="106" t="s">
        <v>31</v>
      </c>
    </row>
    <row r="38" spans="1:11" ht="14.4" thickBot="1" x14ac:dyDescent="0.3">
      <c r="A38" s="140" t="s">
        <v>32</v>
      </c>
      <c r="B38" s="79">
        <f t="shared" si="11"/>
        <v>2129</v>
      </c>
      <c r="C38" s="73">
        <f t="shared" si="11"/>
        <v>1740</v>
      </c>
      <c r="D38" s="92">
        <f>B38-C38</f>
        <v>389</v>
      </c>
      <c r="E38" s="93">
        <f>D38/C38</f>
        <v>0.22356321839080459</v>
      </c>
      <c r="F38" s="124">
        <f t="shared" si="12"/>
        <v>389</v>
      </c>
      <c r="G38" s="84">
        <f>F38/C38</f>
        <v>0.22356321839080459</v>
      </c>
      <c r="H38" s="125">
        <f t="shared" si="13"/>
        <v>13</v>
      </c>
      <c r="I38" s="84">
        <f>H38/C38</f>
        <v>7.4712643678160919E-3</v>
      </c>
      <c r="J38" s="54">
        <f t="shared" si="14"/>
        <v>-13</v>
      </c>
      <c r="K38" s="84">
        <f>J38/C38</f>
        <v>-7.4712643678160919E-3</v>
      </c>
    </row>
    <row r="39" spans="1:11" ht="15.6" x14ac:dyDescent="0.3">
      <c r="A39" s="141"/>
      <c r="B39" s="120"/>
      <c r="C39" s="120"/>
      <c r="D39" s="121"/>
      <c r="E39" s="121"/>
      <c r="H39" s="49"/>
      <c r="I39" s="49"/>
      <c r="J39" s="49"/>
      <c r="K39" s="49"/>
    </row>
    <row r="40" spans="1:11" ht="15" customHeight="1" x14ac:dyDescent="0.3">
      <c r="A40" s="141"/>
      <c r="B40" s="120"/>
      <c r="C40" s="120"/>
      <c r="D40" s="121"/>
      <c r="E40" s="121"/>
      <c r="H40" s="49"/>
      <c r="I40" s="49"/>
      <c r="J40" s="49"/>
      <c r="K40" s="49"/>
    </row>
    <row r="41" spans="1:11" ht="14.4" thickBot="1" x14ac:dyDescent="0.3">
      <c r="A41" s="136" t="s">
        <v>58</v>
      </c>
      <c r="B41" s="112"/>
      <c r="C41" s="112"/>
      <c r="D41" s="68"/>
      <c r="E41" s="68"/>
      <c r="F41" s="68"/>
      <c r="G41" s="68"/>
      <c r="H41" s="67"/>
      <c r="I41" s="67"/>
      <c r="J41" s="67"/>
      <c r="K41" s="67"/>
    </row>
    <row r="42" spans="1:11" ht="15" customHeight="1" x14ac:dyDescent="0.25">
      <c r="A42" s="137" t="s">
        <v>2</v>
      </c>
      <c r="B42" s="70" t="s">
        <v>58</v>
      </c>
      <c r="C42" s="71" t="s">
        <v>50</v>
      </c>
      <c r="D42" s="158" t="s">
        <v>25</v>
      </c>
      <c r="E42" s="159"/>
      <c r="F42" s="160" t="s">
        <v>26</v>
      </c>
      <c r="G42" s="156"/>
      <c r="H42" s="155" t="s">
        <v>27</v>
      </c>
      <c r="I42" s="156"/>
      <c r="J42" s="155" t="s">
        <v>28</v>
      </c>
      <c r="K42" s="156"/>
    </row>
    <row r="43" spans="1:11" ht="13.8" x14ac:dyDescent="0.25">
      <c r="A43" s="138" t="s">
        <v>42</v>
      </c>
      <c r="B43" s="78">
        <f>1276-B52</f>
        <v>426</v>
      </c>
      <c r="C43" s="50">
        <f>1060-C52</f>
        <v>370</v>
      </c>
      <c r="D43" s="89">
        <f>B43-C43</f>
        <v>56</v>
      </c>
      <c r="E43" s="90">
        <f>D43/C43</f>
        <v>0.15135135135135136</v>
      </c>
      <c r="F43" s="80">
        <f>212-F52</f>
        <v>50</v>
      </c>
      <c r="G43" s="81">
        <f>F43/C43</f>
        <v>0.13513513513513514</v>
      </c>
      <c r="H43" s="105">
        <v>1</v>
      </c>
      <c r="I43" s="81">
        <f t="shared" ref="I43:I44" si="15">H43/C43</f>
        <v>2.7027027027027029E-3</v>
      </c>
      <c r="J43" s="43">
        <v>5</v>
      </c>
      <c r="K43" s="88">
        <f>J43/C43</f>
        <v>1.3513513513513514E-2</v>
      </c>
    </row>
    <row r="44" spans="1:11" ht="13.8" x14ac:dyDescent="0.25">
      <c r="A44" s="138" t="s">
        <v>43</v>
      </c>
      <c r="B44" s="78">
        <f>637-B53</f>
        <v>213</v>
      </c>
      <c r="C44" s="50">
        <f>509-C53</f>
        <v>189</v>
      </c>
      <c r="D44" s="91">
        <f>B44-C44</f>
        <v>24</v>
      </c>
      <c r="E44" s="90">
        <f>D44/C44</f>
        <v>0.12698412698412698</v>
      </c>
      <c r="F44" s="82">
        <f>117-F53</f>
        <v>15</v>
      </c>
      <c r="G44" s="81">
        <f>F44/C44</f>
        <v>7.9365079365079361E-2</v>
      </c>
      <c r="H44" s="86">
        <v>0</v>
      </c>
      <c r="I44" s="81">
        <f t="shared" si="15"/>
        <v>0</v>
      </c>
      <c r="J44" s="43">
        <v>9</v>
      </c>
      <c r="K44" s="88">
        <f>J44/C44</f>
        <v>4.7619047619047616E-2</v>
      </c>
    </row>
    <row r="45" spans="1:11" ht="13.8" x14ac:dyDescent="0.25">
      <c r="A45" s="139" t="s">
        <v>29</v>
      </c>
      <c r="B45" s="78">
        <f>344-B54</f>
        <v>120</v>
      </c>
      <c r="C45" s="50">
        <f>281-C54</f>
        <v>100</v>
      </c>
      <c r="D45" s="95">
        <f>B45-C45</f>
        <v>20</v>
      </c>
      <c r="E45" s="90">
        <f>D45/C45</f>
        <v>0.2</v>
      </c>
      <c r="F45" s="80">
        <f>78-F54</f>
        <v>19</v>
      </c>
      <c r="G45" s="81">
        <f>F45/C45</f>
        <v>0.19</v>
      </c>
      <c r="H45" s="87">
        <v>2</v>
      </c>
      <c r="I45" s="81">
        <f>H45/C45</f>
        <v>0.02</v>
      </c>
      <c r="J45" s="43">
        <v>-1</v>
      </c>
      <c r="K45" s="88">
        <f>J45/C45</f>
        <v>-0.01</v>
      </c>
    </row>
    <row r="46" spans="1:11" ht="13.8" x14ac:dyDescent="0.25">
      <c r="A46" s="138" t="s">
        <v>30</v>
      </c>
      <c r="B46" s="78">
        <f>-128-B55</f>
        <v>-41</v>
      </c>
      <c r="C46" s="50">
        <f>-110-C55</f>
        <v>-39</v>
      </c>
      <c r="D46" s="94">
        <f>B46-C46</f>
        <v>-2</v>
      </c>
      <c r="E46" s="102" t="s">
        <v>31</v>
      </c>
      <c r="F46" s="82">
        <v>-2</v>
      </c>
      <c r="G46" s="103" t="s">
        <v>31</v>
      </c>
      <c r="H46" s="104" t="s">
        <v>31</v>
      </c>
      <c r="I46" s="103" t="s">
        <v>31</v>
      </c>
      <c r="J46" s="105" t="s">
        <v>31</v>
      </c>
      <c r="K46" s="106" t="s">
        <v>31</v>
      </c>
    </row>
    <row r="47" spans="1:11" ht="14.4" thickBot="1" x14ac:dyDescent="0.3">
      <c r="A47" s="140" t="s">
        <v>32</v>
      </c>
      <c r="B47" s="79">
        <f>SUM(B43:B46)</f>
        <v>718</v>
      </c>
      <c r="C47" s="73">
        <f>1740-C56</f>
        <v>620</v>
      </c>
      <c r="D47" s="92">
        <f>B47-C47</f>
        <v>98</v>
      </c>
      <c r="E47" s="93">
        <f>D47/C47</f>
        <v>0.15806451612903225</v>
      </c>
      <c r="F47" s="83">
        <v>82</v>
      </c>
      <c r="G47" s="84">
        <f>F47/C47</f>
        <v>0.13225806451612904</v>
      </c>
      <c r="H47" s="96">
        <f>SUM(H43:H46)</f>
        <v>3</v>
      </c>
      <c r="I47" s="84">
        <f>H47/C47</f>
        <v>4.8387096774193551E-3</v>
      </c>
      <c r="J47" s="44">
        <f>SUM(J43:J46)</f>
        <v>13</v>
      </c>
      <c r="K47" s="84">
        <f>J47/C47</f>
        <v>2.0967741935483872E-2</v>
      </c>
    </row>
    <row r="48" spans="1:11" ht="13.5" customHeight="1" x14ac:dyDescent="0.25">
      <c r="A48" s="142"/>
      <c r="B48" s="67"/>
      <c r="C48" s="67"/>
      <c r="D48" s="68"/>
      <c r="E48" s="68"/>
      <c r="F48" s="68"/>
      <c r="G48" s="68"/>
      <c r="H48" s="67"/>
      <c r="I48" s="67"/>
      <c r="J48" s="67"/>
      <c r="K48" s="67"/>
    </row>
    <row r="49" spans="1:11" ht="15.6" x14ac:dyDescent="0.3">
      <c r="A49" s="141"/>
      <c r="B49" s="108"/>
      <c r="C49" s="108"/>
      <c r="D49" s="109"/>
      <c r="E49" s="109"/>
      <c r="H49" s="49"/>
      <c r="I49" s="49"/>
      <c r="J49" s="49"/>
      <c r="K49" s="49"/>
    </row>
    <row r="50" spans="1:11" ht="14.4" thickBot="1" x14ac:dyDescent="0.3">
      <c r="A50" s="136" t="s">
        <v>55</v>
      </c>
      <c r="B50" s="112"/>
      <c r="C50" s="112"/>
      <c r="D50" s="68"/>
      <c r="E50" s="68"/>
      <c r="F50" s="68"/>
      <c r="G50" s="68"/>
      <c r="H50" s="67"/>
      <c r="I50" s="67"/>
      <c r="J50" s="67"/>
      <c r="K50" s="67"/>
    </row>
    <row r="51" spans="1:11" ht="13.8" x14ac:dyDescent="0.25">
      <c r="A51" s="137" t="s">
        <v>2</v>
      </c>
      <c r="B51" s="70" t="s">
        <v>55</v>
      </c>
      <c r="C51" s="71" t="s">
        <v>51</v>
      </c>
      <c r="D51" s="158" t="s">
        <v>25</v>
      </c>
      <c r="E51" s="159"/>
      <c r="F51" s="161" t="s">
        <v>26</v>
      </c>
      <c r="G51" s="156"/>
      <c r="H51" s="155" t="s">
        <v>27</v>
      </c>
      <c r="I51" s="156"/>
      <c r="J51" s="155" t="s">
        <v>28</v>
      </c>
      <c r="K51" s="156"/>
    </row>
    <row r="52" spans="1:11" ht="13.8" x14ac:dyDescent="0.25">
      <c r="A52" s="138" t="s">
        <v>42</v>
      </c>
      <c r="B52" s="78">
        <v>850</v>
      </c>
      <c r="C52" s="50">
        <v>690</v>
      </c>
      <c r="D52" s="89">
        <f>B52-C52</f>
        <v>160</v>
      </c>
      <c r="E52" s="90">
        <f>D52/C52</f>
        <v>0.2318840579710145</v>
      </c>
      <c r="F52" s="80">
        <v>162</v>
      </c>
      <c r="G52" s="81">
        <f>F52/C52</f>
        <v>0.23478260869565218</v>
      </c>
      <c r="H52" s="105">
        <v>1</v>
      </c>
      <c r="I52" s="81">
        <f t="shared" ref="I52:I53" si="16">H52/C52</f>
        <v>1.4492753623188406E-3</v>
      </c>
      <c r="J52" s="43">
        <v>-3</v>
      </c>
      <c r="K52" s="88">
        <f>J52/C52</f>
        <v>-4.3478260869565218E-3</v>
      </c>
    </row>
    <row r="53" spans="1:11" ht="13.8" x14ac:dyDescent="0.25">
      <c r="A53" s="138" t="s">
        <v>43</v>
      </c>
      <c r="B53" s="78">
        <v>424</v>
      </c>
      <c r="C53" s="50">
        <v>320</v>
      </c>
      <c r="D53" s="91">
        <f>B53-C53</f>
        <v>104</v>
      </c>
      <c r="E53" s="90">
        <f>D53/C53</f>
        <v>0.32500000000000001</v>
      </c>
      <c r="F53" s="82">
        <v>102</v>
      </c>
      <c r="G53" s="81">
        <f>F53/C53</f>
        <v>0.31874999999999998</v>
      </c>
      <c r="H53" s="86">
        <v>0</v>
      </c>
      <c r="I53" s="81">
        <f t="shared" si="16"/>
        <v>0</v>
      </c>
      <c r="J53" s="43">
        <v>2</v>
      </c>
      <c r="K53" s="88">
        <f>J53/C53</f>
        <v>6.2500000000000003E-3</v>
      </c>
    </row>
    <row r="54" spans="1:11" ht="13.8" x14ac:dyDescent="0.25">
      <c r="A54" s="139" t="s">
        <v>29</v>
      </c>
      <c r="B54" s="78">
        <v>224</v>
      </c>
      <c r="C54" s="50">
        <v>181</v>
      </c>
      <c r="D54" s="95">
        <f>B54-C54</f>
        <v>43</v>
      </c>
      <c r="E54" s="90">
        <f>D54/C54</f>
        <v>0.23756906077348067</v>
      </c>
      <c r="F54" s="80">
        <v>59</v>
      </c>
      <c r="G54" s="81">
        <f>F54/C54</f>
        <v>0.32596685082872928</v>
      </c>
      <c r="H54" s="87">
        <v>9</v>
      </c>
      <c r="I54" s="81">
        <f>H54/C54</f>
        <v>4.9723756906077346E-2</v>
      </c>
      <c r="J54" s="43">
        <v>-25</v>
      </c>
      <c r="K54" s="88">
        <f>J54/C54</f>
        <v>-0.13812154696132597</v>
      </c>
    </row>
    <row r="55" spans="1:11" ht="13.8" x14ac:dyDescent="0.25">
      <c r="A55" s="138" t="s">
        <v>30</v>
      </c>
      <c r="B55" s="78">
        <v>-87</v>
      </c>
      <c r="C55" s="50">
        <v>-71</v>
      </c>
      <c r="D55" s="94">
        <f>B55-C55</f>
        <v>-16</v>
      </c>
      <c r="E55" s="102" t="s">
        <v>31</v>
      </c>
      <c r="F55" s="82">
        <v>-16</v>
      </c>
      <c r="G55" s="103" t="s">
        <v>31</v>
      </c>
      <c r="H55" s="104" t="s">
        <v>31</v>
      </c>
      <c r="I55" s="103" t="s">
        <v>31</v>
      </c>
      <c r="J55" s="105" t="s">
        <v>31</v>
      </c>
      <c r="K55" s="106" t="s">
        <v>31</v>
      </c>
    </row>
    <row r="56" spans="1:11" ht="14.4" thickBot="1" x14ac:dyDescent="0.3">
      <c r="A56" s="140" t="s">
        <v>32</v>
      </c>
      <c r="B56" s="79">
        <f>SUM(B52:B55)</f>
        <v>1411</v>
      </c>
      <c r="C56" s="73">
        <v>1120</v>
      </c>
      <c r="D56" s="92">
        <f>B56-C56</f>
        <v>291</v>
      </c>
      <c r="E56" s="93">
        <f>D56/C56</f>
        <v>0.25982142857142859</v>
      </c>
      <c r="F56" s="83">
        <v>307</v>
      </c>
      <c r="G56" s="84">
        <f>F56/C56</f>
        <v>0.27410714285714288</v>
      </c>
      <c r="H56" s="96">
        <f>SUM(H52:H55)</f>
        <v>10</v>
      </c>
      <c r="I56" s="84">
        <v>0.01</v>
      </c>
      <c r="J56" s="44">
        <f>SUM(J52:J55)</f>
        <v>-26</v>
      </c>
      <c r="K56" s="84">
        <f>J56/C56</f>
        <v>-2.3214285714285715E-2</v>
      </c>
    </row>
    <row r="57" spans="1:11" ht="13.5" customHeight="1" x14ac:dyDescent="0.25">
      <c r="A57" s="142"/>
      <c r="B57" s="67"/>
      <c r="C57" s="67"/>
      <c r="D57" s="68"/>
      <c r="E57" s="68"/>
      <c r="F57" s="68"/>
      <c r="G57" s="68"/>
      <c r="H57" s="67"/>
      <c r="I57" s="67"/>
      <c r="J57" s="67"/>
      <c r="K57" s="67"/>
    </row>
    <row r="58" spans="1:11" ht="14.4" thickBot="1" x14ac:dyDescent="0.3">
      <c r="A58" s="136" t="s">
        <v>56</v>
      </c>
      <c r="B58" s="112"/>
      <c r="C58" s="112"/>
      <c r="D58" s="68"/>
      <c r="E58" s="68"/>
      <c r="F58" s="68"/>
      <c r="G58" s="68"/>
      <c r="H58" s="67"/>
      <c r="I58" s="67"/>
      <c r="J58" s="67"/>
      <c r="K58" s="67"/>
    </row>
    <row r="59" spans="1:11" ht="13.8" x14ac:dyDescent="0.25">
      <c r="A59" s="137" t="s">
        <v>2</v>
      </c>
      <c r="B59" s="70" t="s">
        <v>56</v>
      </c>
      <c r="C59" s="71" t="s">
        <v>52</v>
      </c>
      <c r="D59" s="158" t="s">
        <v>25</v>
      </c>
      <c r="E59" s="159"/>
      <c r="F59" s="160" t="s">
        <v>26</v>
      </c>
      <c r="G59" s="156"/>
      <c r="H59" s="155" t="s">
        <v>27</v>
      </c>
      <c r="I59" s="156"/>
      <c r="J59" s="155" t="s">
        <v>28</v>
      </c>
      <c r="K59" s="156"/>
    </row>
    <row r="60" spans="1:11" ht="13.8" x14ac:dyDescent="0.25">
      <c r="A60" s="138" t="s">
        <v>42</v>
      </c>
      <c r="B60" s="78">
        <f>B52-B68</f>
        <v>431</v>
      </c>
      <c r="C60" s="50">
        <f>C52-C68</f>
        <v>289</v>
      </c>
      <c r="D60" s="89">
        <f>B60-C60</f>
        <v>142</v>
      </c>
      <c r="E60" s="90">
        <f>D60/C60</f>
        <v>0.49134948096885811</v>
      </c>
      <c r="F60" s="80">
        <f>F52-F68</f>
        <v>138</v>
      </c>
      <c r="G60" s="81">
        <f>F60/C60</f>
        <v>0.47750865051903113</v>
      </c>
      <c r="H60" s="86">
        <f>H52-H68</f>
        <v>1</v>
      </c>
      <c r="I60" s="81">
        <f>H60/C60</f>
        <v>3.4602076124567475E-3</v>
      </c>
      <c r="J60" s="43">
        <f>J52-J68</f>
        <v>3</v>
      </c>
      <c r="K60" s="88">
        <f>J60/C60</f>
        <v>1.0380622837370242E-2</v>
      </c>
    </row>
    <row r="61" spans="1:11" ht="13.8" x14ac:dyDescent="0.25">
      <c r="A61" s="138" t="s">
        <v>43</v>
      </c>
      <c r="B61" s="78">
        <f>B53-B69</f>
        <v>211</v>
      </c>
      <c r="C61" s="50">
        <f t="shared" ref="C61:C64" si="17">C53-C69</f>
        <v>174</v>
      </c>
      <c r="D61" s="91">
        <f>B61-C61</f>
        <v>37</v>
      </c>
      <c r="E61" s="115">
        <f>D61/C61</f>
        <v>0.21264367816091953</v>
      </c>
      <c r="F61" s="82">
        <f t="shared" ref="F61:F64" si="18">F53-F69</f>
        <v>35</v>
      </c>
      <c r="G61" s="81">
        <f>F61/C61</f>
        <v>0.20114942528735633</v>
      </c>
      <c r="H61" s="86">
        <f>H53-H69</f>
        <v>0</v>
      </c>
      <c r="I61" s="81">
        <f t="shared" ref="I61:I64" si="19">H61/C61</f>
        <v>0</v>
      </c>
      <c r="J61" s="43">
        <f t="shared" ref="J61:J64" si="20">J53-J69</f>
        <v>2</v>
      </c>
      <c r="K61" s="88">
        <f>J61/C61</f>
        <v>1.1494252873563218E-2</v>
      </c>
    </row>
    <row r="62" spans="1:11" ht="13.8" x14ac:dyDescent="0.25">
      <c r="A62" s="139" t="s">
        <v>29</v>
      </c>
      <c r="B62" s="78">
        <f>B54-B70</f>
        <v>113</v>
      </c>
      <c r="C62" s="50">
        <f t="shared" si="17"/>
        <v>71</v>
      </c>
      <c r="D62" s="95">
        <f>B62-C62</f>
        <v>42</v>
      </c>
      <c r="E62" s="90">
        <f>D62/C62</f>
        <v>0.59154929577464788</v>
      </c>
      <c r="F62" s="80">
        <f t="shared" si="18"/>
        <v>53</v>
      </c>
      <c r="G62" s="81">
        <f>F62/C62</f>
        <v>0.74647887323943662</v>
      </c>
      <c r="H62" s="86">
        <f t="shared" ref="H62:H64" si="21">H54-H70</f>
        <v>1</v>
      </c>
      <c r="I62" s="81">
        <f t="shared" si="19"/>
        <v>1.4084507042253521E-2</v>
      </c>
      <c r="J62" s="43">
        <f t="shared" si="20"/>
        <v>-12</v>
      </c>
      <c r="K62" s="88">
        <f>J62/C62</f>
        <v>-0.16901408450704225</v>
      </c>
    </row>
    <row r="63" spans="1:11" ht="13.8" x14ac:dyDescent="0.25">
      <c r="A63" s="138" t="s">
        <v>30</v>
      </c>
      <c r="B63" s="78">
        <f>B55-B71</f>
        <v>-41</v>
      </c>
      <c r="C63" s="50">
        <f t="shared" si="17"/>
        <v>-30</v>
      </c>
      <c r="D63" s="94">
        <f>B63-C63</f>
        <v>-11</v>
      </c>
      <c r="E63" s="102" t="s">
        <v>31</v>
      </c>
      <c r="F63" s="82">
        <f t="shared" si="18"/>
        <v>-11</v>
      </c>
      <c r="G63" s="103" t="s">
        <v>31</v>
      </c>
      <c r="H63" s="116" t="s">
        <v>31</v>
      </c>
      <c r="I63" s="103" t="s">
        <v>31</v>
      </c>
      <c r="J63" s="105" t="s">
        <v>31</v>
      </c>
      <c r="K63" s="106" t="s">
        <v>31</v>
      </c>
    </row>
    <row r="64" spans="1:11" ht="14.4" thickBot="1" x14ac:dyDescent="0.3">
      <c r="A64" s="140" t="s">
        <v>32</v>
      </c>
      <c r="B64" s="79">
        <f>B56-B72</f>
        <v>714</v>
      </c>
      <c r="C64" s="73">
        <f t="shared" si="17"/>
        <v>504</v>
      </c>
      <c r="D64" s="92">
        <f>B64-C64</f>
        <v>210</v>
      </c>
      <c r="E64" s="93">
        <f>D64/C64</f>
        <v>0.41666666666666669</v>
      </c>
      <c r="F64" s="83">
        <f t="shared" si="18"/>
        <v>215</v>
      </c>
      <c r="G64" s="84">
        <f>F64/C64</f>
        <v>0.42658730158730157</v>
      </c>
      <c r="H64" s="86">
        <f t="shared" si="21"/>
        <v>2</v>
      </c>
      <c r="I64" s="84">
        <f t="shared" si="19"/>
        <v>3.968253968253968E-3</v>
      </c>
      <c r="J64" s="43">
        <f t="shared" si="20"/>
        <v>-7</v>
      </c>
      <c r="K64" s="97">
        <f>J64/C64</f>
        <v>-1.3888888888888888E-2</v>
      </c>
    </row>
    <row r="65" spans="1:11" ht="15.6" x14ac:dyDescent="0.3">
      <c r="A65" s="141"/>
      <c r="B65" s="62"/>
      <c r="C65" s="62"/>
      <c r="D65" s="63"/>
      <c r="E65" s="63"/>
      <c r="H65" s="49"/>
      <c r="I65" s="49"/>
      <c r="J65" s="49"/>
      <c r="K65" s="49"/>
    </row>
    <row r="66" spans="1:11" ht="14.4" thickBot="1" x14ac:dyDescent="0.3">
      <c r="A66" s="143" t="s">
        <v>54</v>
      </c>
      <c r="B66" s="5"/>
      <c r="C66" s="5"/>
      <c r="H66" s="49"/>
      <c r="I66" s="49"/>
      <c r="J66" s="49"/>
      <c r="K66" s="49"/>
    </row>
    <row r="67" spans="1:11" ht="14.1" customHeight="1" x14ac:dyDescent="0.25">
      <c r="A67" s="137" t="s">
        <v>2</v>
      </c>
      <c r="B67" s="70" t="s">
        <v>54</v>
      </c>
      <c r="C67" s="71" t="s">
        <v>46</v>
      </c>
      <c r="D67" s="158" t="s">
        <v>25</v>
      </c>
      <c r="E67" s="159"/>
      <c r="F67" s="161" t="s">
        <v>26</v>
      </c>
      <c r="G67" s="156"/>
      <c r="H67" s="155" t="s">
        <v>27</v>
      </c>
      <c r="I67" s="156"/>
      <c r="J67" s="155" t="s">
        <v>28</v>
      </c>
      <c r="K67" s="156"/>
    </row>
    <row r="68" spans="1:11" ht="13.8" x14ac:dyDescent="0.25">
      <c r="A68" s="138" t="s">
        <v>42</v>
      </c>
      <c r="B68" s="78">
        <v>419</v>
      </c>
      <c r="C68" s="72">
        <v>401</v>
      </c>
      <c r="D68" s="89">
        <f>B68-C68</f>
        <v>18</v>
      </c>
      <c r="E68" s="90">
        <v>0.05</v>
      </c>
      <c r="F68" s="80">
        <v>24</v>
      </c>
      <c r="G68" s="81">
        <v>0.06</v>
      </c>
      <c r="H68" s="85">
        <v>0</v>
      </c>
      <c r="I68" s="81">
        <f>H68/E68</f>
        <v>0</v>
      </c>
      <c r="J68" s="43">
        <v>-6</v>
      </c>
      <c r="K68" s="88">
        <f>J68/C68</f>
        <v>-1.4962593516209476E-2</v>
      </c>
    </row>
    <row r="69" spans="1:11" ht="13.8" x14ac:dyDescent="0.25">
      <c r="A69" s="138" t="s">
        <v>43</v>
      </c>
      <c r="B69" s="78">
        <v>213</v>
      </c>
      <c r="C69" s="72">
        <v>146</v>
      </c>
      <c r="D69" s="91">
        <f>B69-C69</f>
        <v>67</v>
      </c>
      <c r="E69" s="90">
        <f t="shared" ref="E69:E70" si="22">D69/C69</f>
        <v>0.4589041095890411</v>
      </c>
      <c r="F69" s="82">
        <v>67</v>
      </c>
      <c r="G69" s="81">
        <v>0.46</v>
      </c>
      <c r="H69" s="86">
        <v>0</v>
      </c>
      <c r="I69" s="81">
        <f>H69/C69</f>
        <v>0</v>
      </c>
      <c r="J69" s="43">
        <v>0</v>
      </c>
      <c r="K69" s="88">
        <f>J69/C69</f>
        <v>0</v>
      </c>
    </row>
    <row r="70" spans="1:11" ht="13.8" x14ac:dyDescent="0.25">
      <c r="A70" s="139" t="s">
        <v>29</v>
      </c>
      <c r="B70" s="78">
        <v>111</v>
      </c>
      <c r="C70" s="72">
        <v>110</v>
      </c>
      <c r="D70" s="95">
        <f>B70-C70</f>
        <v>1</v>
      </c>
      <c r="E70" s="90">
        <f t="shared" si="22"/>
        <v>9.0909090909090905E-3</v>
      </c>
      <c r="F70" s="80">
        <v>6</v>
      </c>
      <c r="G70" s="81">
        <v>0.06</v>
      </c>
      <c r="H70" s="87">
        <v>8</v>
      </c>
      <c r="I70" s="81">
        <v>7.0000000000000007E-2</v>
      </c>
      <c r="J70" s="43">
        <v>-13</v>
      </c>
      <c r="K70" s="88">
        <f>J70/C70</f>
        <v>-0.11818181818181818</v>
      </c>
    </row>
    <row r="71" spans="1:11" ht="13.8" x14ac:dyDescent="0.25">
      <c r="A71" s="10" t="s">
        <v>30</v>
      </c>
      <c r="B71" s="78">
        <v>-46</v>
      </c>
      <c r="C71" s="72">
        <v>-41</v>
      </c>
      <c r="D71" s="94">
        <f>B71-C71</f>
        <v>-5</v>
      </c>
      <c r="E71" s="102" t="s">
        <v>31</v>
      </c>
      <c r="F71" s="82">
        <f>F72-(F68+F69+F70)</f>
        <v>-5</v>
      </c>
      <c r="G71" s="103" t="s">
        <v>31</v>
      </c>
      <c r="H71" s="104" t="s">
        <v>31</v>
      </c>
      <c r="I71" s="103" t="s">
        <v>31</v>
      </c>
      <c r="J71" s="105" t="s">
        <v>31</v>
      </c>
      <c r="K71" s="106" t="s">
        <v>31</v>
      </c>
    </row>
    <row r="72" spans="1:11" ht="14.4" thickBot="1" x14ac:dyDescent="0.3">
      <c r="A72" s="13" t="s">
        <v>32</v>
      </c>
      <c r="B72" s="79">
        <f>SUM(B68:B71)</f>
        <v>697</v>
      </c>
      <c r="C72" s="73">
        <v>616</v>
      </c>
      <c r="D72" s="92">
        <f>B72-C72</f>
        <v>81</v>
      </c>
      <c r="E72" s="93">
        <f>D72/C72</f>
        <v>0.1314935064935065</v>
      </c>
      <c r="F72" s="83">
        <v>92</v>
      </c>
      <c r="G72" s="84">
        <v>0.15</v>
      </c>
      <c r="H72" s="96">
        <f>SUM(H68:H71)</f>
        <v>8</v>
      </c>
      <c r="I72" s="84">
        <f>H72/C72</f>
        <v>1.2987012987012988E-2</v>
      </c>
      <c r="J72" s="44">
        <f>SUM(J68:J71)</f>
        <v>-19</v>
      </c>
      <c r="K72" s="97">
        <v>-0.03</v>
      </c>
    </row>
    <row r="73" spans="1:11" ht="15.6" x14ac:dyDescent="0.3">
      <c r="A73" s="58"/>
      <c r="B73" s="58"/>
      <c r="C73" s="58"/>
      <c r="D73" s="60"/>
      <c r="E73" s="60"/>
      <c r="H73" s="49"/>
      <c r="I73" s="49"/>
      <c r="J73" s="49"/>
      <c r="K73" s="49"/>
    </row>
    <row r="74" spans="1:11" x14ac:dyDescent="0.25">
      <c r="A74" s="1"/>
      <c r="B74" s="49"/>
      <c r="C74" s="49"/>
      <c r="H74" s="49"/>
      <c r="I74" s="49"/>
      <c r="J74" s="49"/>
      <c r="K74" s="49"/>
    </row>
  </sheetData>
  <mergeCells count="35">
    <mergeCell ref="J42:K42"/>
    <mergeCell ref="H67:I67"/>
    <mergeCell ref="J67:K67"/>
    <mergeCell ref="H51:I51"/>
    <mergeCell ref="J51:K51"/>
    <mergeCell ref="H59:I59"/>
    <mergeCell ref="J59:K59"/>
    <mergeCell ref="D42:E42"/>
    <mergeCell ref="D33:E33"/>
    <mergeCell ref="F33:G33"/>
    <mergeCell ref="F42:G42"/>
    <mergeCell ref="H42:I42"/>
    <mergeCell ref="H33:I33"/>
    <mergeCell ref="D67:E67"/>
    <mergeCell ref="F67:G67"/>
    <mergeCell ref="D51:E51"/>
    <mergeCell ref="F51:G51"/>
    <mergeCell ref="D59:E59"/>
    <mergeCell ref="F59:G59"/>
    <mergeCell ref="J33:K33"/>
    <mergeCell ref="A1:C1"/>
    <mergeCell ref="A2:C2"/>
    <mergeCell ref="D2:E2"/>
    <mergeCell ref="D24:E24"/>
    <mergeCell ref="F24:G24"/>
    <mergeCell ref="H24:I24"/>
    <mergeCell ref="J24:K24"/>
    <mergeCell ref="D15:E15"/>
    <mergeCell ref="F15:G15"/>
    <mergeCell ref="H15:I15"/>
    <mergeCell ref="J15:K15"/>
    <mergeCell ref="D6:E6"/>
    <mergeCell ref="F6:G6"/>
    <mergeCell ref="H6:I6"/>
    <mergeCell ref="J6:K6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ignoredErrors>
    <ignoredError sqref="G60:G63 I60:I64 I72 G34:G36 I34:I36 G25:G27 I38 I25:I27 E20 G20 I20 E25:E29 I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5"/>
  <sheetViews>
    <sheetView zoomScale="80" zoomScaleNormal="80" zoomScaleSheetLayoutView="70" workbookViewId="0">
      <selection activeCell="N14" sqref="N14"/>
    </sheetView>
  </sheetViews>
  <sheetFormatPr baseColWidth="10" defaultColWidth="11.44140625" defaultRowHeight="13.2" x14ac:dyDescent="0.25"/>
  <cols>
    <col min="1" max="1" width="36.88671875" style="2" customWidth="1"/>
    <col min="2" max="5" width="17.109375" style="2" customWidth="1"/>
    <col min="6" max="10" width="17.109375" style="1" customWidth="1"/>
    <col min="11" max="11" width="17.109375" style="2" customWidth="1"/>
    <col min="12" max="16384" width="11.44140625" style="2"/>
  </cols>
  <sheetData>
    <row r="1" spans="1:11" ht="17.399999999999999" x14ac:dyDescent="0.3">
      <c r="A1" s="149" t="s">
        <v>0</v>
      </c>
      <c r="B1" s="149"/>
      <c r="C1" s="149"/>
      <c r="D1" s="149"/>
      <c r="E1" s="57"/>
      <c r="K1" s="49"/>
    </row>
    <row r="2" spans="1:11" ht="15.6" x14ac:dyDescent="0.3">
      <c r="A2" s="150" t="s">
        <v>33</v>
      </c>
      <c r="B2" s="150"/>
      <c r="C2" s="150"/>
      <c r="D2" s="150"/>
      <c r="E2" s="58"/>
      <c r="F2" s="157"/>
      <c r="G2" s="157"/>
      <c r="K2" s="49"/>
    </row>
    <row r="3" spans="1:11" ht="15.6" x14ac:dyDescent="0.3">
      <c r="A3" s="147"/>
      <c r="B3" s="147"/>
      <c r="C3" s="147"/>
      <c r="D3" s="147"/>
      <c r="E3" s="147"/>
      <c r="F3" s="148"/>
      <c r="G3" s="148"/>
      <c r="K3" s="49"/>
    </row>
    <row r="4" spans="1:11" ht="13.8" x14ac:dyDescent="0.25">
      <c r="A4" s="117" t="s">
        <v>66</v>
      </c>
      <c r="B4" s="67"/>
      <c r="C4" s="67"/>
      <c r="D4" s="67"/>
      <c r="E4" s="67"/>
      <c r="F4" s="68"/>
      <c r="G4" s="68"/>
      <c r="H4" s="68"/>
      <c r="I4" s="68"/>
      <c r="J4" s="68"/>
      <c r="K4" s="67"/>
    </row>
    <row r="5" spans="1:11" ht="14.1" customHeight="1" x14ac:dyDescent="0.25">
      <c r="A5" s="26" t="s">
        <v>2</v>
      </c>
      <c r="B5" s="162" t="s">
        <v>42</v>
      </c>
      <c r="C5" s="163"/>
      <c r="D5" s="164" t="s">
        <v>44</v>
      </c>
      <c r="E5" s="165"/>
      <c r="F5" s="164" t="s">
        <v>34</v>
      </c>
      <c r="G5" s="165"/>
      <c r="H5" s="164" t="s">
        <v>35</v>
      </c>
      <c r="I5" s="165"/>
      <c r="J5" s="164" t="s">
        <v>36</v>
      </c>
      <c r="K5" s="165"/>
    </row>
    <row r="6" spans="1:11" ht="14.4" thickBot="1" x14ac:dyDescent="0.3">
      <c r="A6" s="36"/>
      <c r="B6" s="118" t="s">
        <v>66</v>
      </c>
      <c r="C6" s="38" t="s">
        <v>54</v>
      </c>
      <c r="D6" s="118" t="s">
        <v>66</v>
      </c>
      <c r="E6" s="38" t="s">
        <v>54</v>
      </c>
      <c r="F6" s="118" t="s">
        <v>66</v>
      </c>
      <c r="G6" s="38" t="s">
        <v>54</v>
      </c>
      <c r="H6" s="118" t="s">
        <v>66</v>
      </c>
      <c r="I6" s="38" t="s">
        <v>54</v>
      </c>
      <c r="J6" s="118" t="s">
        <v>66</v>
      </c>
      <c r="K6" s="38" t="s">
        <v>54</v>
      </c>
    </row>
    <row r="7" spans="1:11" ht="13.8" x14ac:dyDescent="0.25">
      <c r="A7" s="35" t="s">
        <v>37</v>
      </c>
      <c r="B7" s="98">
        <v>481</v>
      </c>
      <c r="C7" s="47">
        <v>419</v>
      </c>
      <c r="D7" s="46">
        <v>237</v>
      </c>
      <c r="E7" s="47">
        <v>213</v>
      </c>
      <c r="F7" s="46">
        <v>141</v>
      </c>
      <c r="G7" s="47">
        <v>111</v>
      </c>
      <c r="H7" s="46">
        <v>-51</v>
      </c>
      <c r="I7" s="47">
        <v>-46</v>
      </c>
      <c r="J7" s="46">
        <f>B7+D7+F7+H7</f>
        <v>808</v>
      </c>
      <c r="K7" s="47">
        <f>C7+E7+G7+I7</f>
        <v>697</v>
      </c>
    </row>
    <row r="8" spans="1:11" ht="27.6" x14ac:dyDescent="0.25">
      <c r="A8" s="34" t="s">
        <v>11</v>
      </c>
      <c r="B8" s="98">
        <v>42</v>
      </c>
      <c r="C8" s="47">
        <v>47</v>
      </c>
      <c r="D8" s="98">
        <v>29</v>
      </c>
      <c r="E8" s="47">
        <v>34</v>
      </c>
      <c r="F8" s="98">
        <v>17</v>
      </c>
      <c r="G8" s="47">
        <v>16</v>
      </c>
      <c r="H8" s="98">
        <v>3</v>
      </c>
      <c r="I8" s="47">
        <v>2</v>
      </c>
      <c r="J8" s="46">
        <f>B8+D8+F8+H8</f>
        <v>91</v>
      </c>
      <c r="K8" s="47">
        <f>C8+E8+G8+I8</f>
        <v>99</v>
      </c>
    </row>
    <row r="9" spans="1:11" ht="14.4" x14ac:dyDescent="0.3">
      <c r="A9" s="61" t="s">
        <v>38</v>
      </c>
      <c r="B9" s="99">
        <v>8.6999999999999994E-2</v>
      </c>
      <c r="C9" s="119">
        <v>0.11217183770883055</v>
      </c>
      <c r="D9" s="99">
        <v>0.122</v>
      </c>
      <c r="E9" s="119">
        <v>0.15962441314553991</v>
      </c>
      <c r="F9" s="99">
        <v>0.121</v>
      </c>
      <c r="G9" s="119">
        <v>0.14414414414414414</v>
      </c>
      <c r="H9" s="101" t="s">
        <v>31</v>
      </c>
      <c r="I9" s="39" t="s">
        <v>31</v>
      </c>
      <c r="J9" s="99">
        <f t="shared" ref="J9:K9" si="0">J8/J7</f>
        <v>0.11262376237623763</v>
      </c>
      <c r="K9" s="119">
        <f t="shared" si="0"/>
        <v>0.14203730272596843</v>
      </c>
    </row>
    <row r="10" spans="1:11" ht="27.6" x14ac:dyDescent="0.25">
      <c r="A10" s="48" t="s">
        <v>12</v>
      </c>
      <c r="B10" s="100">
        <v>2</v>
      </c>
      <c r="C10" s="39">
        <v>2</v>
      </c>
      <c r="D10" s="100" t="s">
        <v>31</v>
      </c>
      <c r="E10" s="39" t="s">
        <v>31</v>
      </c>
      <c r="F10" s="101" t="s">
        <v>31</v>
      </c>
      <c r="G10" s="39" t="s">
        <v>31</v>
      </c>
      <c r="H10" s="101" t="s">
        <v>31</v>
      </c>
      <c r="I10" s="39" t="s">
        <v>31</v>
      </c>
      <c r="J10" s="122">
        <v>2</v>
      </c>
      <c r="K10" s="39">
        <v>2</v>
      </c>
    </row>
    <row r="11" spans="1:11" ht="13.8" x14ac:dyDescent="0.25">
      <c r="A11" s="6" t="s">
        <v>39</v>
      </c>
      <c r="B11" s="100">
        <v>44</v>
      </c>
      <c r="C11" s="47">
        <v>49</v>
      </c>
      <c r="D11" s="100">
        <v>29</v>
      </c>
      <c r="E11" s="47">
        <v>34</v>
      </c>
      <c r="F11" s="100">
        <v>17</v>
      </c>
      <c r="G11" s="47">
        <v>16</v>
      </c>
      <c r="H11" s="98">
        <v>3</v>
      </c>
      <c r="I11" s="47">
        <v>2</v>
      </c>
      <c r="J11" s="46">
        <f t="shared" ref="J11:J13" si="1">B11+D11+F11+H11</f>
        <v>93</v>
      </c>
      <c r="K11" s="47">
        <f t="shared" ref="K11:K13" si="2">C11+E11+G11+I11</f>
        <v>101</v>
      </c>
    </row>
    <row r="12" spans="1:11" ht="13.8" x14ac:dyDescent="0.25">
      <c r="A12" s="6" t="s">
        <v>40</v>
      </c>
      <c r="B12" s="98">
        <v>6</v>
      </c>
      <c r="C12" s="39">
        <v>6</v>
      </c>
      <c r="D12" s="98">
        <v>3</v>
      </c>
      <c r="E12" s="39">
        <v>2</v>
      </c>
      <c r="F12" s="98">
        <v>1</v>
      </c>
      <c r="G12" s="39">
        <v>1</v>
      </c>
      <c r="H12" s="98">
        <v>1</v>
      </c>
      <c r="I12" s="39">
        <v>6</v>
      </c>
      <c r="J12" s="46">
        <f t="shared" si="1"/>
        <v>11</v>
      </c>
      <c r="K12" s="39">
        <f t="shared" si="2"/>
        <v>15</v>
      </c>
    </row>
    <row r="13" spans="1:11" ht="13.8" x14ac:dyDescent="0.25">
      <c r="A13" s="34" t="s">
        <v>45</v>
      </c>
      <c r="B13" s="100">
        <v>3883</v>
      </c>
      <c r="C13" s="39">
        <v>3818</v>
      </c>
      <c r="D13" s="100">
        <v>953</v>
      </c>
      <c r="E13" s="39">
        <v>917</v>
      </c>
      <c r="F13" s="100">
        <v>1031</v>
      </c>
      <c r="G13" s="39">
        <v>871</v>
      </c>
      <c r="H13" s="100">
        <v>146</v>
      </c>
      <c r="I13" s="39">
        <v>136</v>
      </c>
      <c r="J13" s="100">
        <f t="shared" si="1"/>
        <v>6013</v>
      </c>
      <c r="K13" s="39">
        <f t="shared" si="2"/>
        <v>5742</v>
      </c>
    </row>
    <row r="14" spans="1:11" ht="15.6" x14ac:dyDescent="0.3">
      <c r="A14" s="147"/>
      <c r="B14" s="147"/>
      <c r="C14" s="147"/>
      <c r="D14" s="147"/>
      <c r="E14" s="147"/>
      <c r="F14" s="148"/>
      <c r="G14" s="148"/>
      <c r="K14" s="49"/>
    </row>
    <row r="15" spans="1:11" ht="15.6" x14ac:dyDescent="0.3">
      <c r="A15" s="147"/>
      <c r="B15" s="147"/>
      <c r="C15" s="147"/>
      <c r="D15" s="147"/>
      <c r="E15" s="147"/>
      <c r="F15" s="148"/>
      <c r="G15" s="148"/>
      <c r="K15" s="49"/>
    </row>
    <row r="16" spans="1:11" ht="13.8" x14ac:dyDescent="0.25">
      <c r="A16" s="117" t="s">
        <v>63</v>
      </c>
      <c r="B16" s="67"/>
      <c r="C16" s="67"/>
      <c r="D16" s="67"/>
      <c r="E16" s="67"/>
      <c r="F16" s="68"/>
      <c r="G16" s="68"/>
      <c r="H16" s="68"/>
      <c r="I16" s="68"/>
      <c r="J16" s="68"/>
      <c r="K16" s="67"/>
    </row>
    <row r="17" spans="1:12" ht="14.1" customHeight="1" x14ac:dyDescent="0.25">
      <c r="A17" s="26" t="s">
        <v>2</v>
      </c>
      <c r="B17" s="162" t="s">
        <v>42</v>
      </c>
      <c r="C17" s="163"/>
      <c r="D17" s="164" t="s">
        <v>44</v>
      </c>
      <c r="E17" s="165"/>
      <c r="F17" s="164" t="s">
        <v>34</v>
      </c>
      <c r="G17" s="165"/>
      <c r="H17" s="164" t="s">
        <v>35</v>
      </c>
      <c r="I17" s="165"/>
      <c r="J17" s="164" t="s">
        <v>36</v>
      </c>
      <c r="K17" s="165"/>
    </row>
    <row r="18" spans="1:12" ht="14.4" thickBot="1" x14ac:dyDescent="0.3">
      <c r="A18" s="36"/>
      <c r="B18" s="118" t="s">
        <v>62</v>
      </c>
      <c r="C18" s="38" t="s">
        <v>53</v>
      </c>
      <c r="D18" s="118" t="s">
        <v>62</v>
      </c>
      <c r="E18" s="38" t="s">
        <v>53</v>
      </c>
      <c r="F18" s="118" t="s">
        <v>62</v>
      </c>
      <c r="G18" s="38" t="s">
        <v>53</v>
      </c>
      <c r="H18" s="118" t="s">
        <v>62</v>
      </c>
      <c r="I18" s="38" t="s">
        <v>53</v>
      </c>
      <c r="J18" s="118" t="s">
        <v>62</v>
      </c>
      <c r="K18" s="38" t="s">
        <v>53</v>
      </c>
    </row>
    <row r="19" spans="1:12" ht="13.8" x14ac:dyDescent="0.25">
      <c r="A19" s="35" t="s">
        <v>37</v>
      </c>
      <c r="B19" s="98">
        <v>1710</v>
      </c>
      <c r="C19" s="47">
        <v>1446</v>
      </c>
      <c r="D19" s="46">
        <v>855</v>
      </c>
      <c r="E19" s="47">
        <v>698</v>
      </c>
      <c r="F19" s="46">
        <v>471</v>
      </c>
      <c r="G19" s="47">
        <v>387</v>
      </c>
      <c r="H19" s="46">
        <v>-165</v>
      </c>
      <c r="I19" s="47">
        <v>-153</v>
      </c>
      <c r="J19" s="46">
        <f>B19+D19+F19+H19</f>
        <v>2871</v>
      </c>
      <c r="K19" s="47">
        <f>C19+E19+G19+I19</f>
        <v>2378</v>
      </c>
    </row>
    <row r="20" spans="1:12" ht="27.6" x14ac:dyDescent="0.25">
      <c r="A20" s="34" t="s">
        <v>11</v>
      </c>
      <c r="B20" s="98">
        <v>157</v>
      </c>
      <c r="C20" s="47">
        <v>158</v>
      </c>
      <c r="D20" s="98">
        <v>122</v>
      </c>
      <c r="E20" s="47">
        <v>100</v>
      </c>
      <c r="F20" s="98">
        <v>60</v>
      </c>
      <c r="G20" s="47">
        <v>42</v>
      </c>
      <c r="H20" s="98">
        <v>15</v>
      </c>
      <c r="I20" s="47">
        <v>3</v>
      </c>
      <c r="J20" s="46">
        <f>B20+D20+F20+H20</f>
        <v>354</v>
      </c>
      <c r="K20" s="47">
        <f>C20+E20+G20+I20</f>
        <v>303</v>
      </c>
    </row>
    <row r="21" spans="1:12" ht="14.4" x14ac:dyDescent="0.3">
      <c r="A21" s="61" t="s">
        <v>38</v>
      </c>
      <c r="B21" s="99">
        <f>B20/B19</f>
        <v>9.1812865497076027E-2</v>
      </c>
      <c r="C21" s="119">
        <f>C20/C19</f>
        <v>0.10926694329183956</v>
      </c>
      <c r="D21" s="99">
        <f t="shared" ref="D21:K21" si="3">D20/D19</f>
        <v>0.14269005847953217</v>
      </c>
      <c r="E21" s="119">
        <f t="shared" si="3"/>
        <v>0.14326647564469913</v>
      </c>
      <c r="F21" s="99">
        <f t="shared" si="3"/>
        <v>0.12738853503184713</v>
      </c>
      <c r="G21" s="119">
        <f t="shared" si="3"/>
        <v>0.10852713178294573</v>
      </c>
      <c r="H21" s="101" t="s">
        <v>31</v>
      </c>
      <c r="I21" s="39" t="s">
        <v>31</v>
      </c>
      <c r="J21" s="99">
        <f t="shared" si="3"/>
        <v>0.12330198537095088</v>
      </c>
      <c r="K21" s="119">
        <f t="shared" si="3"/>
        <v>0.12741799831791423</v>
      </c>
    </row>
    <row r="22" spans="1:12" ht="27.6" x14ac:dyDescent="0.25">
      <c r="A22" s="48" t="s">
        <v>12</v>
      </c>
      <c r="B22" s="100">
        <v>9</v>
      </c>
      <c r="C22" s="39">
        <v>10</v>
      </c>
      <c r="D22" s="100" t="s">
        <v>31</v>
      </c>
      <c r="E22" s="39" t="s">
        <v>31</v>
      </c>
      <c r="F22" s="101" t="s">
        <v>31</v>
      </c>
      <c r="G22" s="39" t="s">
        <v>31</v>
      </c>
      <c r="H22" s="101" t="s">
        <v>31</v>
      </c>
      <c r="I22" s="39" t="s">
        <v>31</v>
      </c>
      <c r="J22" s="122">
        <v>9</v>
      </c>
      <c r="K22" s="39">
        <v>10</v>
      </c>
    </row>
    <row r="23" spans="1:12" ht="13.8" x14ac:dyDescent="0.25">
      <c r="A23" s="6" t="s">
        <v>39</v>
      </c>
      <c r="B23" s="100">
        <v>166</v>
      </c>
      <c r="C23" s="47">
        <v>168</v>
      </c>
      <c r="D23" s="100">
        <v>122</v>
      </c>
      <c r="E23" s="47">
        <v>100</v>
      </c>
      <c r="F23" s="100">
        <v>60</v>
      </c>
      <c r="G23" s="47">
        <v>42</v>
      </c>
      <c r="H23" s="98">
        <v>15</v>
      </c>
      <c r="I23" s="47">
        <v>3</v>
      </c>
      <c r="J23" s="46">
        <f t="shared" ref="J23:K25" si="4">B23+D23+F23+H23</f>
        <v>363</v>
      </c>
      <c r="K23" s="47">
        <f t="shared" si="4"/>
        <v>313</v>
      </c>
    </row>
    <row r="24" spans="1:12" ht="13.8" x14ac:dyDescent="0.25">
      <c r="A24" s="6" t="s">
        <v>40</v>
      </c>
      <c r="B24" s="98">
        <v>43</v>
      </c>
      <c r="C24" s="39">
        <v>75</v>
      </c>
      <c r="D24" s="98">
        <v>20</v>
      </c>
      <c r="E24" s="39">
        <v>22</v>
      </c>
      <c r="F24" s="98">
        <v>8</v>
      </c>
      <c r="G24" s="39">
        <v>13</v>
      </c>
      <c r="H24" s="98">
        <v>9</v>
      </c>
      <c r="I24" s="39">
        <v>12</v>
      </c>
      <c r="J24" s="46">
        <f t="shared" si="4"/>
        <v>80</v>
      </c>
      <c r="K24" s="39">
        <f t="shared" si="4"/>
        <v>122</v>
      </c>
    </row>
    <row r="25" spans="1:12" ht="13.8" x14ac:dyDescent="0.25">
      <c r="A25" s="34" t="s">
        <v>65</v>
      </c>
      <c r="B25" s="100">
        <v>3860</v>
      </c>
      <c r="C25" s="39">
        <v>3803</v>
      </c>
      <c r="D25" s="100">
        <v>944</v>
      </c>
      <c r="E25" s="39">
        <v>924</v>
      </c>
      <c r="F25" s="100">
        <v>1028</v>
      </c>
      <c r="G25" s="39">
        <v>862</v>
      </c>
      <c r="H25" s="100">
        <v>144</v>
      </c>
      <c r="I25" s="39">
        <v>139</v>
      </c>
      <c r="J25" s="100">
        <f t="shared" si="4"/>
        <v>5976</v>
      </c>
      <c r="K25" s="39">
        <f t="shared" si="4"/>
        <v>5728</v>
      </c>
    </row>
    <row r="26" spans="1:12" ht="13.8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2" ht="15.6" x14ac:dyDescent="0.3">
      <c r="A27" s="126"/>
      <c r="B27" s="126"/>
      <c r="C27" s="126"/>
      <c r="D27" s="126"/>
      <c r="E27" s="166"/>
      <c r="F27" s="166"/>
      <c r="G27" s="166"/>
      <c r="H27" s="166"/>
      <c r="I27" s="166"/>
      <c r="J27" s="166"/>
      <c r="K27" s="166"/>
      <c r="L27" s="166"/>
    </row>
    <row r="28" spans="1:12" ht="13.8" x14ac:dyDescent="0.25">
      <c r="A28" s="117" t="s">
        <v>61</v>
      </c>
      <c r="B28" s="67"/>
      <c r="C28" s="67"/>
      <c r="D28" s="67"/>
      <c r="E28" s="67"/>
      <c r="F28" s="68"/>
      <c r="G28" s="68"/>
      <c r="H28" s="68"/>
      <c r="I28" s="68"/>
      <c r="J28" s="68"/>
      <c r="K28" s="67"/>
    </row>
    <row r="29" spans="1:12" ht="14.1" customHeight="1" x14ac:dyDescent="0.25">
      <c r="A29" s="26" t="s">
        <v>2</v>
      </c>
      <c r="B29" s="162" t="s">
        <v>42</v>
      </c>
      <c r="C29" s="163"/>
      <c r="D29" s="155" t="s">
        <v>44</v>
      </c>
      <c r="E29" s="156"/>
      <c r="F29" s="155" t="s">
        <v>34</v>
      </c>
      <c r="G29" s="156"/>
      <c r="H29" s="155" t="s">
        <v>35</v>
      </c>
      <c r="I29" s="156"/>
      <c r="J29" s="155" t="s">
        <v>36</v>
      </c>
      <c r="K29" s="156"/>
    </row>
    <row r="30" spans="1:12" ht="14.4" thickBot="1" x14ac:dyDescent="0.3">
      <c r="A30" s="36"/>
      <c r="B30" s="118" t="s">
        <v>61</v>
      </c>
      <c r="C30" s="38" t="s">
        <v>48</v>
      </c>
      <c r="D30" s="118" t="s">
        <v>61</v>
      </c>
      <c r="E30" s="38" t="s">
        <v>48</v>
      </c>
      <c r="F30" s="118" t="s">
        <v>61</v>
      </c>
      <c r="G30" s="38" t="s">
        <v>48</v>
      </c>
      <c r="H30" s="118" t="s">
        <v>61</v>
      </c>
      <c r="I30" s="38" t="s">
        <v>48</v>
      </c>
      <c r="J30" s="118" t="s">
        <v>61</v>
      </c>
      <c r="K30" s="38" t="s">
        <v>48</v>
      </c>
    </row>
    <row r="31" spans="1:12" ht="13.8" x14ac:dyDescent="0.25">
      <c r="A31" s="35" t="s">
        <v>37</v>
      </c>
      <c r="B31" s="98">
        <f t="shared" ref="B31:K31" si="5">B19-B43</f>
        <v>434</v>
      </c>
      <c r="C31" s="47">
        <f t="shared" si="5"/>
        <v>386</v>
      </c>
      <c r="D31" s="46">
        <f t="shared" si="5"/>
        <v>218</v>
      </c>
      <c r="E31" s="47">
        <f t="shared" si="5"/>
        <v>189</v>
      </c>
      <c r="F31" s="46">
        <f t="shared" si="5"/>
        <v>127</v>
      </c>
      <c r="G31" s="47">
        <f t="shared" si="5"/>
        <v>106</v>
      </c>
      <c r="H31" s="46">
        <f t="shared" si="5"/>
        <v>-37</v>
      </c>
      <c r="I31" s="47">
        <f t="shared" si="5"/>
        <v>-43</v>
      </c>
      <c r="J31" s="46">
        <f t="shared" si="5"/>
        <v>742</v>
      </c>
      <c r="K31" s="47">
        <f t="shared" si="5"/>
        <v>638</v>
      </c>
    </row>
    <row r="32" spans="1:12" ht="27.6" x14ac:dyDescent="0.25">
      <c r="A32" s="34" t="s">
        <v>11</v>
      </c>
      <c r="B32" s="98">
        <f t="shared" ref="B32:K32" si="6">B20-B44</f>
        <v>33</v>
      </c>
      <c r="C32" s="47">
        <f t="shared" si="6"/>
        <v>63</v>
      </c>
      <c r="D32" s="98">
        <f t="shared" si="6"/>
        <v>29</v>
      </c>
      <c r="E32" s="47">
        <f t="shared" si="6"/>
        <v>30</v>
      </c>
      <c r="F32" s="98">
        <f t="shared" si="6"/>
        <v>14</v>
      </c>
      <c r="G32" s="47">
        <f t="shared" si="6"/>
        <v>13</v>
      </c>
      <c r="H32" s="98">
        <f t="shared" si="6"/>
        <v>6</v>
      </c>
      <c r="I32" s="47">
        <f t="shared" si="6"/>
        <v>1</v>
      </c>
      <c r="J32" s="46">
        <f t="shared" si="6"/>
        <v>82</v>
      </c>
      <c r="K32" s="47">
        <f t="shared" si="6"/>
        <v>107</v>
      </c>
    </row>
    <row r="33" spans="1:11" ht="14.4" x14ac:dyDescent="0.3">
      <c r="A33" s="61" t="s">
        <v>38</v>
      </c>
      <c r="B33" s="99">
        <f t="shared" ref="B33" si="7">B32/B31</f>
        <v>7.6036866359447008E-2</v>
      </c>
      <c r="C33" s="119">
        <f>C32/C31</f>
        <v>0.16321243523316062</v>
      </c>
      <c r="D33" s="99">
        <f t="shared" ref="D33:K33" si="8">D32/D31</f>
        <v>0.13302752293577982</v>
      </c>
      <c r="E33" s="119">
        <f t="shared" si="8"/>
        <v>0.15873015873015872</v>
      </c>
      <c r="F33" s="99">
        <f t="shared" si="8"/>
        <v>0.11023622047244094</v>
      </c>
      <c r="G33" s="119">
        <f t="shared" si="8"/>
        <v>0.12264150943396226</v>
      </c>
      <c r="H33" s="101" t="s">
        <v>31</v>
      </c>
      <c r="I33" s="39" t="s">
        <v>31</v>
      </c>
      <c r="J33" s="99">
        <f t="shared" si="8"/>
        <v>0.11051212938005391</v>
      </c>
      <c r="K33" s="119">
        <f t="shared" si="8"/>
        <v>0.16771159874608149</v>
      </c>
    </row>
    <row r="34" spans="1:11" ht="27.6" x14ac:dyDescent="0.25">
      <c r="A34" s="48" t="s">
        <v>12</v>
      </c>
      <c r="B34" s="100">
        <f t="shared" ref="B34:C36" si="9">B22-B46</f>
        <v>2</v>
      </c>
      <c r="C34" s="39">
        <f t="shared" si="9"/>
        <v>3</v>
      </c>
      <c r="D34" s="100" t="s">
        <v>31</v>
      </c>
      <c r="E34" s="39" t="s">
        <v>31</v>
      </c>
      <c r="F34" s="101" t="s">
        <v>31</v>
      </c>
      <c r="G34" s="39" t="s">
        <v>31</v>
      </c>
      <c r="H34" s="101" t="s">
        <v>31</v>
      </c>
      <c r="I34" s="39" t="s">
        <v>31</v>
      </c>
      <c r="J34" s="122">
        <f t="shared" ref="J34:K36" si="10">J22-J46</f>
        <v>2</v>
      </c>
      <c r="K34" s="39">
        <f t="shared" si="10"/>
        <v>3</v>
      </c>
    </row>
    <row r="35" spans="1:11" ht="13.8" x14ac:dyDescent="0.25">
      <c r="A35" s="6" t="s">
        <v>39</v>
      </c>
      <c r="B35" s="98">
        <f t="shared" si="9"/>
        <v>35</v>
      </c>
      <c r="C35" s="39">
        <f t="shared" si="9"/>
        <v>66</v>
      </c>
      <c r="D35" s="98">
        <f t="shared" ref="D35:I36" si="11">D23-D47</f>
        <v>29</v>
      </c>
      <c r="E35" s="39">
        <f t="shared" si="11"/>
        <v>30</v>
      </c>
      <c r="F35" s="98">
        <f t="shared" si="11"/>
        <v>14</v>
      </c>
      <c r="G35" s="39">
        <f t="shared" si="11"/>
        <v>13</v>
      </c>
      <c r="H35" s="98">
        <f t="shared" si="11"/>
        <v>6</v>
      </c>
      <c r="I35" s="39">
        <f t="shared" si="11"/>
        <v>1</v>
      </c>
      <c r="J35" s="46">
        <f t="shared" si="10"/>
        <v>84</v>
      </c>
      <c r="K35" s="39">
        <f t="shared" si="10"/>
        <v>110</v>
      </c>
    </row>
    <row r="36" spans="1:11" ht="13.8" x14ac:dyDescent="0.25">
      <c r="A36" s="6" t="s">
        <v>40</v>
      </c>
      <c r="B36" s="98">
        <f t="shared" si="9"/>
        <v>22</v>
      </c>
      <c r="C36" s="39">
        <f t="shared" si="9"/>
        <v>22</v>
      </c>
      <c r="D36" s="98">
        <f t="shared" si="11"/>
        <v>7</v>
      </c>
      <c r="E36" s="39">
        <f t="shared" si="11"/>
        <v>7</v>
      </c>
      <c r="F36" s="98">
        <f t="shared" si="11"/>
        <v>3</v>
      </c>
      <c r="G36" s="39">
        <f t="shared" si="11"/>
        <v>2</v>
      </c>
      <c r="H36" s="98">
        <f t="shared" si="11"/>
        <v>3</v>
      </c>
      <c r="I36" s="39">
        <f t="shared" si="11"/>
        <v>2</v>
      </c>
      <c r="J36" s="46">
        <f t="shared" si="10"/>
        <v>35</v>
      </c>
      <c r="K36" s="39">
        <f t="shared" si="10"/>
        <v>33</v>
      </c>
    </row>
    <row r="37" spans="1:11" ht="13.8" x14ac:dyDescent="0.25">
      <c r="A37" s="34" t="s">
        <v>65</v>
      </c>
      <c r="B37" s="100">
        <f t="shared" ref="B37:K37" si="12">B25</f>
        <v>3860</v>
      </c>
      <c r="C37" s="39">
        <f t="shared" si="12"/>
        <v>3803</v>
      </c>
      <c r="D37" s="100">
        <f t="shared" si="12"/>
        <v>944</v>
      </c>
      <c r="E37" s="39">
        <f t="shared" si="12"/>
        <v>924</v>
      </c>
      <c r="F37" s="100">
        <f t="shared" si="12"/>
        <v>1028</v>
      </c>
      <c r="G37" s="39">
        <f t="shared" si="12"/>
        <v>862</v>
      </c>
      <c r="H37" s="100">
        <f t="shared" si="12"/>
        <v>144</v>
      </c>
      <c r="I37" s="39">
        <f t="shared" si="12"/>
        <v>139</v>
      </c>
      <c r="J37" s="100">
        <f t="shared" si="12"/>
        <v>5976</v>
      </c>
      <c r="K37" s="39">
        <f t="shared" si="12"/>
        <v>5728</v>
      </c>
    </row>
    <row r="38" spans="1:11" ht="13.8" x14ac:dyDescent="0.2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ht="15.6" x14ac:dyDescent="0.3">
      <c r="A39" s="120"/>
      <c r="B39" s="126"/>
      <c r="C39" s="126"/>
      <c r="D39" s="126"/>
      <c r="E39" s="126"/>
      <c r="F39" s="127"/>
      <c r="G39" s="127"/>
      <c r="K39" s="49"/>
    </row>
    <row r="40" spans="1:11" ht="13.8" x14ac:dyDescent="0.25">
      <c r="A40" s="117" t="s">
        <v>60</v>
      </c>
      <c r="B40" s="67"/>
      <c r="C40" s="67"/>
      <c r="D40" s="67"/>
      <c r="E40" s="67"/>
      <c r="F40" s="68"/>
      <c r="G40" s="68"/>
      <c r="H40" s="68"/>
      <c r="I40" s="68"/>
      <c r="J40" s="68"/>
      <c r="K40" s="67"/>
    </row>
    <row r="41" spans="1:11" ht="13.8" x14ac:dyDescent="0.25">
      <c r="A41" s="26" t="s">
        <v>2</v>
      </c>
      <c r="B41" s="162" t="s">
        <v>42</v>
      </c>
      <c r="C41" s="163"/>
      <c r="D41" s="155" t="s">
        <v>44</v>
      </c>
      <c r="E41" s="156"/>
      <c r="F41" s="155" t="s">
        <v>34</v>
      </c>
      <c r="G41" s="156"/>
      <c r="H41" s="155" t="s">
        <v>35</v>
      </c>
      <c r="I41" s="156"/>
      <c r="J41" s="155" t="s">
        <v>36</v>
      </c>
      <c r="K41" s="156"/>
    </row>
    <row r="42" spans="1:11" ht="14.4" thickBot="1" x14ac:dyDescent="0.3">
      <c r="A42" s="36"/>
      <c r="B42" s="118" t="s">
        <v>60</v>
      </c>
      <c r="C42" s="38" t="s">
        <v>49</v>
      </c>
      <c r="D42" s="118" t="s">
        <v>60</v>
      </c>
      <c r="E42" s="38" t="s">
        <v>49</v>
      </c>
      <c r="F42" s="118" t="s">
        <v>60</v>
      </c>
      <c r="G42" s="38" t="s">
        <v>49</v>
      </c>
      <c r="H42" s="118" t="s">
        <v>60</v>
      </c>
      <c r="I42" s="38" t="s">
        <v>49</v>
      </c>
      <c r="J42" s="118" t="s">
        <v>60</v>
      </c>
      <c r="K42" s="38" t="s">
        <v>49</v>
      </c>
    </row>
    <row r="43" spans="1:11" ht="13.8" x14ac:dyDescent="0.25">
      <c r="A43" s="35" t="s">
        <v>37</v>
      </c>
      <c r="B43" s="98">
        <f t="shared" ref="B43:K43" si="13">B56+B69</f>
        <v>1276</v>
      </c>
      <c r="C43" s="47">
        <f t="shared" si="13"/>
        <v>1060</v>
      </c>
      <c r="D43" s="46">
        <f t="shared" si="13"/>
        <v>637</v>
      </c>
      <c r="E43" s="47">
        <f t="shared" si="13"/>
        <v>509</v>
      </c>
      <c r="F43" s="46">
        <f t="shared" si="13"/>
        <v>344</v>
      </c>
      <c r="G43" s="47">
        <f t="shared" si="13"/>
        <v>281</v>
      </c>
      <c r="H43" s="46">
        <f t="shared" si="13"/>
        <v>-128</v>
      </c>
      <c r="I43" s="47">
        <f t="shared" si="13"/>
        <v>-110</v>
      </c>
      <c r="J43" s="46">
        <f t="shared" si="13"/>
        <v>2129</v>
      </c>
      <c r="K43" s="47">
        <f t="shared" si="13"/>
        <v>1740</v>
      </c>
    </row>
    <row r="44" spans="1:11" ht="27.6" x14ac:dyDescent="0.25">
      <c r="A44" s="34" t="s">
        <v>11</v>
      </c>
      <c r="B44" s="98">
        <f t="shared" ref="B44:K44" si="14">B57+B70</f>
        <v>124</v>
      </c>
      <c r="C44" s="47">
        <f t="shared" si="14"/>
        <v>95</v>
      </c>
      <c r="D44" s="98">
        <f t="shared" si="14"/>
        <v>93</v>
      </c>
      <c r="E44" s="47">
        <f t="shared" si="14"/>
        <v>70</v>
      </c>
      <c r="F44" s="98">
        <f t="shared" si="14"/>
        <v>46</v>
      </c>
      <c r="G44" s="47">
        <f t="shared" si="14"/>
        <v>29</v>
      </c>
      <c r="H44" s="98">
        <f t="shared" si="14"/>
        <v>9</v>
      </c>
      <c r="I44" s="47">
        <f t="shared" si="14"/>
        <v>2</v>
      </c>
      <c r="J44" s="46">
        <f t="shared" si="14"/>
        <v>272</v>
      </c>
      <c r="K44" s="47">
        <f t="shared" si="14"/>
        <v>196</v>
      </c>
    </row>
    <row r="45" spans="1:11" ht="14.4" x14ac:dyDescent="0.3">
      <c r="A45" s="61" t="s">
        <v>38</v>
      </c>
      <c r="B45" s="99">
        <f t="shared" ref="B45" si="15">B44/B43</f>
        <v>9.7178683385579931E-2</v>
      </c>
      <c r="C45" s="119">
        <f>C44/C43</f>
        <v>8.9622641509433956E-2</v>
      </c>
      <c r="D45" s="99">
        <f t="shared" ref="D45:K45" si="16">D44/D43</f>
        <v>0.14599686028257458</v>
      </c>
      <c r="E45" s="119">
        <f t="shared" si="16"/>
        <v>0.13752455795677801</v>
      </c>
      <c r="F45" s="99">
        <f t="shared" si="16"/>
        <v>0.13372093023255813</v>
      </c>
      <c r="G45" s="119">
        <f t="shared" si="16"/>
        <v>0.10320284697508897</v>
      </c>
      <c r="H45" s="101" t="s">
        <v>31</v>
      </c>
      <c r="I45" s="39" t="s">
        <v>31</v>
      </c>
      <c r="J45" s="99">
        <f t="shared" si="16"/>
        <v>0.12775951150775011</v>
      </c>
      <c r="K45" s="119">
        <f t="shared" si="16"/>
        <v>0.11264367816091954</v>
      </c>
    </row>
    <row r="46" spans="1:11" ht="27.6" x14ac:dyDescent="0.25">
      <c r="A46" s="48" t="s">
        <v>12</v>
      </c>
      <c r="B46" s="100">
        <f t="shared" ref="B46:C48" si="17">B59+B72</f>
        <v>7</v>
      </c>
      <c r="C46" s="39">
        <f t="shared" si="17"/>
        <v>7</v>
      </c>
      <c r="D46" s="100" t="s">
        <v>31</v>
      </c>
      <c r="E46" s="39" t="s">
        <v>31</v>
      </c>
      <c r="F46" s="101" t="s">
        <v>31</v>
      </c>
      <c r="G46" s="39" t="s">
        <v>31</v>
      </c>
      <c r="H46" s="101" t="s">
        <v>31</v>
      </c>
      <c r="I46" s="39" t="s">
        <v>31</v>
      </c>
      <c r="J46" s="122">
        <f t="shared" ref="J46:K48" si="18">J59+J72</f>
        <v>7</v>
      </c>
      <c r="K46" s="39">
        <f t="shared" si="18"/>
        <v>7</v>
      </c>
    </row>
    <row r="47" spans="1:11" ht="13.8" x14ac:dyDescent="0.25">
      <c r="A47" s="6" t="s">
        <v>39</v>
      </c>
      <c r="B47" s="100">
        <f t="shared" si="17"/>
        <v>131</v>
      </c>
      <c r="C47" s="47">
        <f t="shared" si="17"/>
        <v>102</v>
      </c>
      <c r="D47" s="100">
        <f t="shared" ref="D47:I48" si="19">D60+D73</f>
        <v>93</v>
      </c>
      <c r="E47" s="47">
        <f t="shared" si="19"/>
        <v>70</v>
      </c>
      <c r="F47" s="100">
        <f t="shared" si="19"/>
        <v>46</v>
      </c>
      <c r="G47" s="47">
        <f t="shared" si="19"/>
        <v>29</v>
      </c>
      <c r="H47" s="98">
        <f t="shared" si="19"/>
        <v>9</v>
      </c>
      <c r="I47" s="47">
        <f t="shared" si="19"/>
        <v>2</v>
      </c>
      <c r="J47" s="46">
        <f t="shared" si="18"/>
        <v>279</v>
      </c>
      <c r="K47" s="47">
        <f t="shared" si="18"/>
        <v>203</v>
      </c>
    </row>
    <row r="48" spans="1:11" ht="13.8" x14ac:dyDescent="0.25">
      <c r="A48" s="6" t="s">
        <v>40</v>
      </c>
      <c r="B48" s="98">
        <f t="shared" si="17"/>
        <v>21</v>
      </c>
      <c r="C48" s="39">
        <f t="shared" si="17"/>
        <v>53</v>
      </c>
      <c r="D48" s="98">
        <f t="shared" si="19"/>
        <v>13</v>
      </c>
      <c r="E48" s="39">
        <f t="shared" si="19"/>
        <v>15</v>
      </c>
      <c r="F48" s="98">
        <f t="shared" si="19"/>
        <v>5</v>
      </c>
      <c r="G48" s="39">
        <f t="shared" si="19"/>
        <v>11</v>
      </c>
      <c r="H48" s="98">
        <f t="shared" si="19"/>
        <v>6</v>
      </c>
      <c r="I48" s="39">
        <f t="shared" si="19"/>
        <v>10</v>
      </c>
      <c r="J48" s="46">
        <f t="shared" si="18"/>
        <v>45</v>
      </c>
      <c r="K48" s="39">
        <f t="shared" si="18"/>
        <v>89</v>
      </c>
    </row>
    <row r="49" spans="1:11" ht="13.8" x14ac:dyDescent="0.25">
      <c r="A49" s="34" t="s">
        <v>59</v>
      </c>
      <c r="B49" s="100">
        <f t="shared" ref="B49:K49" si="20">B62</f>
        <v>3848</v>
      </c>
      <c r="C49" s="39">
        <f t="shared" si="20"/>
        <v>3805</v>
      </c>
      <c r="D49" s="100">
        <f t="shared" si="20"/>
        <v>937</v>
      </c>
      <c r="E49" s="39">
        <f t="shared" si="20"/>
        <v>940</v>
      </c>
      <c r="F49" s="100">
        <f t="shared" si="20"/>
        <v>1018</v>
      </c>
      <c r="G49" s="39">
        <f t="shared" si="20"/>
        <v>867</v>
      </c>
      <c r="H49" s="100">
        <f t="shared" si="20"/>
        <v>144</v>
      </c>
      <c r="I49" s="39">
        <f t="shared" si="20"/>
        <v>139</v>
      </c>
      <c r="J49" s="100">
        <f t="shared" si="20"/>
        <v>5947</v>
      </c>
      <c r="K49" s="39">
        <f t="shared" si="20"/>
        <v>5751</v>
      </c>
    </row>
    <row r="50" spans="1:11" ht="15.6" x14ac:dyDescent="0.3">
      <c r="A50" s="120"/>
      <c r="B50" s="120"/>
      <c r="C50" s="120"/>
      <c r="D50" s="120"/>
      <c r="E50" s="120"/>
      <c r="F50" s="121"/>
      <c r="G50" s="121"/>
      <c r="K50" s="49"/>
    </row>
    <row r="51" spans="1:11" ht="15.6" x14ac:dyDescent="0.3">
      <c r="A51" s="120"/>
      <c r="B51" s="120"/>
      <c r="C51" s="120"/>
      <c r="D51" s="120"/>
      <c r="E51" s="120"/>
      <c r="F51" s="121"/>
      <c r="G51" s="121"/>
      <c r="K51" s="49"/>
    </row>
    <row r="52" spans="1:11" ht="15.6" x14ac:dyDescent="0.3">
      <c r="A52" s="58"/>
      <c r="B52" s="58"/>
      <c r="C52" s="58"/>
      <c r="D52" s="58"/>
      <c r="E52" s="58"/>
      <c r="F52" s="60"/>
      <c r="G52" s="60"/>
      <c r="K52" s="49"/>
    </row>
    <row r="53" spans="1:11" ht="13.8" x14ac:dyDescent="0.25">
      <c r="A53" s="117" t="s">
        <v>58</v>
      </c>
      <c r="B53" s="67"/>
      <c r="C53" s="67"/>
      <c r="D53" s="67"/>
      <c r="E53" s="67"/>
      <c r="F53" s="68"/>
      <c r="G53" s="68"/>
      <c r="H53" s="68"/>
      <c r="I53" s="68"/>
      <c r="J53" s="68"/>
      <c r="K53" s="67"/>
    </row>
    <row r="54" spans="1:11" ht="13.8" x14ac:dyDescent="0.25">
      <c r="A54" s="26" t="s">
        <v>2</v>
      </c>
      <c r="B54" s="162" t="s">
        <v>42</v>
      </c>
      <c r="C54" s="163"/>
      <c r="D54" s="155" t="s">
        <v>44</v>
      </c>
      <c r="E54" s="156"/>
      <c r="F54" s="155" t="s">
        <v>34</v>
      </c>
      <c r="G54" s="156"/>
      <c r="H54" s="155" t="s">
        <v>35</v>
      </c>
      <c r="I54" s="156"/>
      <c r="J54" s="155" t="s">
        <v>36</v>
      </c>
      <c r="K54" s="156"/>
    </row>
    <row r="55" spans="1:11" ht="14.4" thickBot="1" x14ac:dyDescent="0.3">
      <c r="A55" s="36"/>
      <c r="B55" s="118" t="s">
        <v>58</v>
      </c>
      <c r="C55" s="38" t="s">
        <v>50</v>
      </c>
      <c r="D55" s="118" t="s">
        <v>58</v>
      </c>
      <c r="E55" s="38" t="s">
        <v>50</v>
      </c>
      <c r="F55" s="118" t="s">
        <v>58</v>
      </c>
      <c r="G55" s="38" t="s">
        <v>50</v>
      </c>
      <c r="H55" s="118" t="s">
        <v>58</v>
      </c>
      <c r="I55" s="38" t="s">
        <v>50</v>
      </c>
      <c r="J55" s="118" t="s">
        <v>58</v>
      </c>
      <c r="K55" s="38" t="s">
        <v>50</v>
      </c>
    </row>
    <row r="56" spans="1:11" ht="13.8" x14ac:dyDescent="0.25">
      <c r="A56" s="35" t="s">
        <v>37</v>
      </c>
      <c r="B56" s="98">
        <f>1276-B69</f>
        <v>426</v>
      </c>
      <c r="C56" s="47">
        <f>1060-C69</f>
        <v>370</v>
      </c>
      <c r="D56" s="46">
        <f>637-D69</f>
        <v>213</v>
      </c>
      <c r="E56" s="47">
        <f>509-E69</f>
        <v>189</v>
      </c>
      <c r="F56" s="46">
        <f>344-F69</f>
        <v>120</v>
      </c>
      <c r="G56" s="47">
        <f>281-181</f>
        <v>100</v>
      </c>
      <c r="H56" s="46">
        <f>-41</f>
        <v>-41</v>
      </c>
      <c r="I56" s="47">
        <f>-110+71</f>
        <v>-39</v>
      </c>
      <c r="J56" s="46">
        <f>B56+D56+F56+H56</f>
        <v>718</v>
      </c>
      <c r="K56" s="47">
        <f>C56+E56+G56+I56</f>
        <v>620</v>
      </c>
    </row>
    <row r="57" spans="1:11" ht="27.6" x14ac:dyDescent="0.25">
      <c r="A57" s="34" t="s">
        <v>11</v>
      </c>
      <c r="B57" s="98">
        <f>124-B70</f>
        <v>35</v>
      </c>
      <c r="C57" s="47">
        <f>95-C70</f>
        <v>43</v>
      </c>
      <c r="D57" s="98">
        <f>93-D70</f>
        <v>30</v>
      </c>
      <c r="E57" s="47">
        <f>70-E70</f>
        <v>29</v>
      </c>
      <c r="F57" s="98">
        <f>46-31</f>
        <v>15</v>
      </c>
      <c r="G57" s="47">
        <f>29-14</f>
        <v>15</v>
      </c>
      <c r="H57" s="98">
        <v>5</v>
      </c>
      <c r="I57" s="47">
        <v>1</v>
      </c>
      <c r="J57" s="46">
        <f>B57+D57+F57+H57</f>
        <v>85</v>
      </c>
      <c r="K57" s="47">
        <f>C57+E57+G57+I57</f>
        <v>88</v>
      </c>
    </row>
    <row r="58" spans="1:11" ht="14.4" x14ac:dyDescent="0.3">
      <c r="A58" s="61" t="s">
        <v>38</v>
      </c>
      <c r="B58" s="99">
        <f t="shared" ref="B58:G58" si="21">B57/B56</f>
        <v>8.2159624413145546E-2</v>
      </c>
      <c r="C58" s="119">
        <f>C57/C56</f>
        <v>0.11621621621621622</v>
      </c>
      <c r="D58" s="99">
        <f t="shared" si="21"/>
        <v>0.14084507042253522</v>
      </c>
      <c r="E58" s="119">
        <f t="shared" si="21"/>
        <v>0.15343915343915343</v>
      </c>
      <c r="F58" s="99">
        <f t="shared" si="21"/>
        <v>0.125</v>
      </c>
      <c r="G58" s="119">
        <f t="shared" si="21"/>
        <v>0.15</v>
      </c>
      <c r="H58" s="99" t="s">
        <v>31</v>
      </c>
      <c r="I58" s="119" t="s">
        <v>31</v>
      </c>
      <c r="J58" s="99">
        <f>J57/J56</f>
        <v>0.11838440111420613</v>
      </c>
      <c r="K58" s="119">
        <f t="shared" ref="K58" si="22">K57/K56</f>
        <v>0.14193548387096774</v>
      </c>
    </row>
    <row r="59" spans="1:11" ht="27.6" x14ac:dyDescent="0.25">
      <c r="A59" s="48" t="s">
        <v>12</v>
      </c>
      <c r="B59" s="100">
        <f>7-B72</f>
        <v>3</v>
      </c>
      <c r="C59" s="39">
        <f>7-C72</f>
        <v>3</v>
      </c>
      <c r="D59" s="100" t="s">
        <v>31</v>
      </c>
      <c r="E59" s="39" t="s">
        <v>31</v>
      </c>
      <c r="F59" s="101" t="s">
        <v>31</v>
      </c>
      <c r="G59" s="39" t="s">
        <v>31</v>
      </c>
      <c r="H59" s="101" t="s">
        <v>31</v>
      </c>
      <c r="I59" s="39" t="s">
        <v>31</v>
      </c>
      <c r="J59" s="122">
        <v>3</v>
      </c>
      <c r="K59" s="39">
        <v>3</v>
      </c>
    </row>
    <row r="60" spans="1:11" ht="13.8" x14ac:dyDescent="0.25">
      <c r="A60" s="6" t="s">
        <v>39</v>
      </c>
      <c r="B60" s="100">
        <f>131-B73</f>
        <v>38</v>
      </c>
      <c r="C60" s="47">
        <f>102-C73</f>
        <v>46</v>
      </c>
      <c r="D60" s="100">
        <f>93-D73</f>
        <v>30</v>
      </c>
      <c r="E60" s="47">
        <f>70-E73</f>
        <v>29</v>
      </c>
      <c r="F60" s="100">
        <f>46-31</f>
        <v>15</v>
      </c>
      <c r="G60" s="47">
        <f>29-14</f>
        <v>15</v>
      </c>
      <c r="H60" s="98">
        <v>5</v>
      </c>
      <c r="I60" s="47">
        <v>1</v>
      </c>
      <c r="J60" s="46">
        <f t="shared" ref="J60:K62" si="23">B60+D60+F60+H60</f>
        <v>88</v>
      </c>
      <c r="K60" s="47">
        <f t="shared" si="23"/>
        <v>91</v>
      </c>
    </row>
    <row r="61" spans="1:11" ht="13.8" x14ac:dyDescent="0.25">
      <c r="A61" s="6" t="s">
        <v>40</v>
      </c>
      <c r="B61" s="98">
        <f>21-B74</f>
        <v>7</v>
      </c>
      <c r="C61" s="39">
        <f>53-C74</f>
        <v>16</v>
      </c>
      <c r="D61" s="98">
        <f>13-9</f>
        <v>4</v>
      </c>
      <c r="E61" s="39">
        <v>6</v>
      </c>
      <c r="F61" s="98">
        <v>2</v>
      </c>
      <c r="G61" s="39">
        <f>11-8</f>
        <v>3</v>
      </c>
      <c r="H61" s="98">
        <v>0</v>
      </c>
      <c r="I61" s="39">
        <v>6</v>
      </c>
      <c r="J61" s="46">
        <f t="shared" si="23"/>
        <v>13</v>
      </c>
      <c r="K61" s="39">
        <f t="shared" si="23"/>
        <v>31</v>
      </c>
    </row>
    <row r="62" spans="1:11" ht="13.8" x14ac:dyDescent="0.25">
      <c r="A62" s="34" t="s">
        <v>59</v>
      </c>
      <c r="B62" s="100">
        <v>3848</v>
      </c>
      <c r="C62" s="39">
        <v>3805</v>
      </c>
      <c r="D62" s="100">
        <v>937</v>
      </c>
      <c r="E62" s="39">
        <v>940</v>
      </c>
      <c r="F62" s="100">
        <v>1018</v>
      </c>
      <c r="G62" s="39">
        <v>867</v>
      </c>
      <c r="H62" s="100">
        <v>144</v>
      </c>
      <c r="I62" s="39">
        <v>139</v>
      </c>
      <c r="J62" s="100">
        <f t="shared" si="23"/>
        <v>5947</v>
      </c>
      <c r="K62" s="39">
        <f t="shared" si="23"/>
        <v>5751</v>
      </c>
    </row>
    <row r="63" spans="1:11" ht="15.6" x14ac:dyDescent="0.3">
      <c r="A63" s="113"/>
      <c r="B63" s="113"/>
      <c r="C63" s="113"/>
      <c r="D63" s="113"/>
      <c r="E63" s="113"/>
      <c r="F63" s="114"/>
      <c r="G63" s="114"/>
      <c r="H63" s="68"/>
      <c r="I63" s="68"/>
      <c r="J63" s="68"/>
      <c r="K63" s="67"/>
    </row>
    <row r="64" spans="1:11" x14ac:dyDescent="0.25">
      <c r="A64" s="68"/>
      <c r="B64" s="67"/>
      <c r="C64" s="67"/>
      <c r="D64" s="67"/>
      <c r="E64" s="67"/>
      <c r="F64" s="68"/>
      <c r="G64" s="68"/>
      <c r="H64" s="68"/>
      <c r="I64" s="68"/>
      <c r="J64" s="68"/>
      <c r="K64" s="67"/>
    </row>
    <row r="65" spans="1:11" ht="15.6" x14ac:dyDescent="0.3">
      <c r="A65" s="108"/>
      <c r="B65" s="108"/>
      <c r="C65" s="108"/>
      <c r="D65" s="108"/>
      <c r="E65" s="108"/>
      <c r="F65" s="109"/>
      <c r="G65" s="109"/>
      <c r="K65" s="49"/>
    </row>
    <row r="66" spans="1:11" ht="13.8" x14ac:dyDescent="0.25">
      <c r="A66" s="117" t="s">
        <v>55</v>
      </c>
      <c r="B66" s="67"/>
      <c r="C66" s="67"/>
      <c r="D66" s="67"/>
      <c r="E66" s="67"/>
      <c r="F66" s="68"/>
      <c r="G66" s="68"/>
      <c r="H66" s="68"/>
      <c r="I66" s="68"/>
      <c r="J66" s="68"/>
      <c r="K66" s="67"/>
    </row>
    <row r="67" spans="1:11" ht="13.8" x14ac:dyDescent="0.25">
      <c r="A67" s="26" t="s">
        <v>2</v>
      </c>
      <c r="B67" s="162" t="s">
        <v>42</v>
      </c>
      <c r="C67" s="163"/>
      <c r="D67" s="155" t="s">
        <v>44</v>
      </c>
      <c r="E67" s="156"/>
      <c r="F67" s="155" t="s">
        <v>34</v>
      </c>
      <c r="G67" s="156"/>
      <c r="H67" s="155" t="s">
        <v>35</v>
      </c>
      <c r="I67" s="156"/>
      <c r="J67" s="155" t="s">
        <v>36</v>
      </c>
      <c r="K67" s="156"/>
    </row>
    <row r="68" spans="1:11" ht="14.4" thickBot="1" x14ac:dyDescent="0.3">
      <c r="A68" s="36"/>
      <c r="B68" s="118" t="s">
        <v>55</v>
      </c>
      <c r="C68" s="38" t="s">
        <v>51</v>
      </c>
      <c r="D68" s="118" t="s">
        <v>55</v>
      </c>
      <c r="E68" s="38" t="s">
        <v>51</v>
      </c>
      <c r="F68" s="118" t="s">
        <v>55</v>
      </c>
      <c r="G68" s="38" t="s">
        <v>51</v>
      </c>
      <c r="H68" s="118" t="s">
        <v>55</v>
      </c>
      <c r="I68" s="38" t="s">
        <v>51</v>
      </c>
      <c r="J68" s="118" t="s">
        <v>55</v>
      </c>
      <c r="K68" s="38" t="s">
        <v>51</v>
      </c>
    </row>
    <row r="69" spans="1:11" ht="13.8" x14ac:dyDescent="0.25">
      <c r="A69" s="35" t="s">
        <v>37</v>
      </c>
      <c r="B69" s="98">
        <v>850</v>
      </c>
      <c r="C69" s="47">
        <v>690</v>
      </c>
      <c r="D69" s="46">
        <v>424</v>
      </c>
      <c r="E69" s="47">
        <v>320</v>
      </c>
      <c r="F69" s="46">
        <v>224</v>
      </c>
      <c r="G69" s="47">
        <v>181</v>
      </c>
      <c r="H69" s="46">
        <v>-87</v>
      </c>
      <c r="I69" s="47">
        <v>-71</v>
      </c>
      <c r="J69" s="46">
        <v>1411</v>
      </c>
      <c r="K69" s="47">
        <v>1120</v>
      </c>
    </row>
    <row r="70" spans="1:11" ht="27.6" x14ac:dyDescent="0.25">
      <c r="A70" s="34" t="s">
        <v>11</v>
      </c>
      <c r="B70" s="98">
        <v>89</v>
      </c>
      <c r="C70" s="47">
        <v>52</v>
      </c>
      <c r="D70" s="98">
        <v>63</v>
      </c>
      <c r="E70" s="47">
        <v>41</v>
      </c>
      <c r="F70" s="98">
        <v>31</v>
      </c>
      <c r="G70" s="47">
        <v>14</v>
      </c>
      <c r="H70" s="98">
        <v>4</v>
      </c>
      <c r="I70" s="47">
        <v>1</v>
      </c>
      <c r="J70" s="46">
        <v>187</v>
      </c>
      <c r="K70" s="47">
        <v>108</v>
      </c>
    </row>
    <row r="71" spans="1:11" ht="14.4" x14ac:dyDescent="0.3">
      <c r="A71" s="61" t="s">
        <v>38</v>
      </c>
      <c r="B71" s="99">
        <f t="shared" ref="B71:F71" si="24">B70/B69</f>
        <v>0.10470588235294118</v>
      </c>
      <c r="C71" s="119">
        <f t="shared" si="24"/>
        <v>7.5362318840579715E-2</v>
      </c>
      <c r="D71" s="99">
        <f t="shared" si="24"/>
        <v>0.14858490566037735</v>
      </c>
      <c r="E71" s="119">
        <f t="shared" si="24"/>
        <v>0.12812499999999999</v>
      </c>
      <c r="F71" s="99">
        <f t="shared" si="24"/>
        <v>0.13839285714285715</v>
      </c>
      <c r="G71" s="119">
        <f t="shared" ref="G71" si="25">G70/G69</f>
        <v>7.7348066298342538E-2</v>
      </c>
      <c r="H71" s="99" t="s">
        <v>31</v>
      </c>
      <c r="I71" s="119" t="s">
        <v>31</v>
      </c>
      <c r="J71" s="99">
        <f t="shared" ref="J71:K71" si="26">J70/J69</f>
        <v>0.13253012048192772</v>
      </c>
      <c r="K71" s="119">
        <f t="shared" si="26"/>
        <v>9.6428571428571433E-2</v>
      </c>
    </row>
    <row r="72" spans="1:11" ht="27.6" x14ac:dyDescent="0.25">
      <c r="A72" s="48" t="s">
        <v>12</v>
      </c>
      <c r="B72" s="100">
        <v>4</v>
      </c>
      <c r="C72" s="39">
        <v>4</v>
      </c>
      <c r="D72" s="100" t="s">
        <v>31</v>
      </c>
      <c r="E72" s="39" t="s">
        <v>31</v>
      </c>
      <c r="F72" s="101" t="s">
        <v>31</v>
      </c>
      <c r="G72" s="39" t="s">
        <v>31</v>
      </c>
      <c r="H72" s="101" t="s">
        <v>31</v>
      </c>
      <c r="I72" s="39" t="s">
        <v>31</v>
      </c>
      <c r="J72" s="46">
        <v>4</v>
      </c>
      <c r="K72" s="39">
        <v>4</v>
      </c>
    </row>
    <row r="73" spans="1:11" ht="13.8" x14ac:dyDescent="0.25">
      <c r="A73" s="6" t="s">
        <v>39</v>
      </c>
      <c r="B73" s="100">
        <v>93</v>
      </c>
      <c r="C73" s="47">
        <v>56</v>
      </c>
      <c r="D73" s="100">
        <v>63</v>
      </c>
      <c r="E73" s="47">
        <v>41</v>
      </c>
      <c r="F73" s="100">
        <v>31</v>
      </c>
      <c r="G73" s="47">
        <v>14</v>
      </c>
      <c r="H73" s="98">
        <v>4</v>
      </c>
      <c r="I73" s="47">
        <v>1</v>
      </c>
      <c r="J73" s="46">
        <f>J72+J70</f>
        <v>191</v>
      </c>
      <c r="K73" s="47">
        <f>K72+K70</f>
        <v>112</v>
      </c>
    </row>
    <row r="74" spans="1:11" ht="13.8" x14ac:dyDescent="0.25">
      <c r="A74" s="6" t="s">
        <v>40</v>
      </c>
      <c r="B74" s="98">
        <v>14</v>
      </c>
      <c r="C74" s="39">
        <v>37</v>
      </c>
      <c r="D74" s="98">
        <v>9</v>
      </c>
      <c r="E74" s="39">
        <v>9</v>
      </c>
      <c r="F74" s="98">
        <v>3</v>
      </c>
      <c r="G74" s="39">
        <v>8</v>
      </c>
      <c r="H74" s="98">
        <v>6</v>
      </c>
      <c r="I74" s="39">
        <v>4</v>
      </c>
      <c r="J74" s="46">
        <v>32</v>
      </c>
      <c r="K74" s="39">
        <v>58</v>
      </c>
    </row>
    <row r="75" spans="1:11" ht="13.8" x14ac:dyDescent="0.25">
      <c r="A75" s="34" t="s">
        <v>57</v>
      </c>
      <c r="B75" s="100">
        <v>3818</v>
      </c>
      <c r="C75" s="39">
        <v>3815</v>
      </c>
      <c r="D75" s="100">
        <v>933</v>
      </c>
      <c r="E75" s="39">
        <v>934</v>
      </c>
      <c r="F75" s="100">
        <v>881</v>
      </c>
      <c r="G75" s="39">
        <v>907</v>
      </c>
      <c r="H75" s="100">
        <v>135</v>
      </c>
      <c r="I75" s="39">
        <v>136</v>
      </c>
      <c r="J75" s="100">
        <v>5767</v>
      </c>
      <c r="K75" s="39">
        <v>5792</v>
      </c>
    </row>
    <row r="76" spans="1:11" ht="15.6" x14ac:dyDescent="0.3">
      <c r="A76" s="113"/>
      <c r="B76" s="113"/>
      <c r="C76" s="113"/>
      <c r="D76" s="113"/>
      <c r="E76" s="113"/>
      <c r="F76" s="114"/>
      <c r="G76" s="114"/>
      <c r="H76" s="68"/>
      <c r="I76" s="68"/>
      <c r="J76" s="68"/>
      <c r="K76" s="67"/>
    </row>
    <row r="77" spans="1:11" x14ac:dyDescent="0.25">
      <c r="A77" s="68"/>
      <c r="B77" s="67"/>
      <c r="C77" s="67"/>
      <c r="D77" s="67"/>
      <c r="E77" s="67"/>
      <c r="F77" s="68"/>
      <c r="G77" s="68"/>
      <c r="H77" s="68"/>
      <c r="I77" s="68"/>
      <c r="J77" s="68"/>
      <c r="K77" s="67"/>
    </row>
    <row r="78" spans="1:11" ht="13.8" x14ac:dyDescent="0.25">
      <c r="A78" s="117" t="s">
        <v>56</v>
      </c>
      <c r="B78" s="67"/>
      <c r="C78" s="67"/>
      <c r="D78" s="67"/>
      <c r="E78" s="67"/>
      <c r="F78" s="68"/>
      <c r="G78" s="68"/>
      <c r="H78" s="68"/>
      <c r="I78" s="68"/>
      <c r="J78" s="68"/>
      <c r="K78" s="67"/>
    </row>
    <row r="79" spans="1:11" ht="13.8" x14ac:dyDescent="0.25">
      <c r="A79" s="26" t="s">
        <v>2</v>
      </c>
      <c r="B79" s="162" t="s">
        <v>42</v>
      </c>
      <c r="C79" s="163"/>
      <c r="D79" s="155" t="s">
        <v>44</v>
      </c>
      <c r="E79" s="156"/>
      <c r="F79" s="155" t="s">
        <v>34</v>
      </c>
      <c r="G79" s="156"/>
      <c r="H79" s="155" t="s">
        <v>35</v>
      </c>
      <c r="I79" s="156"/>
      <c r="J79" s="155" t="s">
        <v>36</v>
      </c>
      <c r="K79" s="156"/>
    </row>
    <row r="80" spans="1:11" ht="14.4" thickBot="1" x14ac:dyDescent="0.3">
      <c r="A80" s="36"/>
      <c r="B80" s="118" t="s">
        <v>56</v>
      </c>
      <c r="C80" s="118" t="s">
        <v>52</v>
      </c>
      <c r="D80" s="118" t="s">
        <v>56</v>
      </c>
      <c r="E80" s="118" t="s">
        <v>52</v>
      </c>
      <c r="F80" s="118" t="s">
        <v>56</v>
      </c>
      <c r="G80" s="118" t="s">
        <v>52</v>
      </c>
      <c r="H80" s="118" t="s">
        <v>56</v>
      </c>
      <c r="I80" s="118" t="s">
        <v>52</v>
      </c>
      <c r="J80" s="118" t="s">
        <v>56</v>
      </c>
      <c r="K80" s="118" t="s">
        <v>52</v>
      </c>
    </row>
    <row r="81" spans="1:11" ht="13.8" x14ac:dyDescent="0.25">
      <c r="A81" s="35" t="s">
        <v>37</v>
      </c>
      <c r="B81" s="98">
        <f>B69-B93</f>
        <v>431</v>
      </c>
      <c r="C81" s="47">
        <f t="shared" ref="C81:K81" si="27">C69-C93</f>
        <v>289</v>
      </c>
      <c r="D81" s="98">
        <f t="shared" si="27"/>
        <v>211</v>
      </c>
      <c r="E81" s="47">
        <f t="shared" si="27"/>
        <v>174</v>
      </c>
      <c r="F81" s="98">
        <f t="shared" si="27"/>
        <v>113</v>
      </c>
      <c r="G81" s="47">
        <f t="shared" si="27"/>
        <v>71</v>
      </c>
      <c r="H81" s="98">
        <f t="shared" si="27"/>
        <v>-41</v>
      </c>
      <c r="I81" s="47">
        <f t="shared" si="27"/>
        <v>-30</v>
      </c>
      <c r="J81" s="98">
        <f t="shared" si="27"/>
        <v>714</v>
      </c>
      <c r="K81" s="47">
        <f t="shared" si="27"/>
        <v>504</v>
      </c>
    </row>
    <row r="82" spans="1:11" ht="27.6" x14ac:dyDescent="0.25">
      <c r="A82" s="34" t="s">
        <v>11</v>
      </c>
      <c r="B82" s="98">
        <f>B70-B94</f>
        <v>42</v>
      </c>
      <c r="C82" s="47">
        <f t="shared" ref="C82:K82" si="28">C70-C94</f>
        <v>11</v>
      </c>
      <c r="D82" s="98">
        <f t="shared" si="28"/>
        <v>29</v>
      </c>
      <c r="E82" s="47">
        <f t="shared" si="28"/>
        <v>24</v>
      </c>
      <c r="F82" s="98">
        <f t="shared" si="28"/>
        <v>15</v>
      </c>
      <c r="G82" s="47">
        <f t="shared" si="28"/>
        <v>2</v>
      </c>
      <c r="H82" s="98">
        <f t="shared" si="28"/>
        <v>2</v>
      </c>
      <c r="I82" s="47">
        <f t="shared" si="28"/>
        <v>1</v>
      </c>
      <c r="J82" s="98">
        <f t="shared" si="28"/>
        <v>88</v>
      </c>
      <c r="K82" s="47">
        <f t="shared" si="28"/>
        <v>38</v>
      </c>
    </row>
    <row r="83" spans="1:11" ht="14.4" x14ac:dyDescent="0.3">
      <c r="A83" s="61" t="s">
        <v>38</v>
      </c>
      <c r="B83" s="99">
        <f>B82/B81</f>
        <v>9.7447795823665889E-2</v>
      </c>
      <c r="C83" s="119">
        <f t="shared" ref="C83" si="29">C82/C81</f>
        <v>3.8062283737024222E-2</v>
      </c>
      <c r="D83" s="99">
        <f>D82/D81</f>
        <v>0.13744075829383887</v>
      </c>
      <c r="E83" s="119">
        <f t="shared" ref="E83" si="30">E82/E81</f>
        <v>0.13793103448275862</v>
      </c>
      <c r="F83" s="99">
        <f>F82/F81</f>
        <v>0.13274336283185842</v>
      </c>
      <c r="G83" s="119">
        <f t="shared" ref="G83" si="31">G82/G81</f>
        <v>2.8169014084507043E-2</v>
      </c>
      <c r="H83" s="100" t="s">
        <v>31</v>
      </c>
      <c r="I83" s="119" t="s">
        <v>31</v>
      </c>
      <c r="J83" s="99">
        <f>J82/J81</f>
        <v>0.12324929971988796</v>
      </c>
      <c r="K83" s="119">
        <f>K82/K81</f>
        <v>7.5396825396825393E-2</v>
      </c>
    </row>
    <row r="84" spans="1:11" ht="27.6" x14ac:dyDescent="0.25">
      <c r="A84" s="48" t="s">
        <v>12</v>
      </c>
      <c r="B84" s="100">
        <f>B72-B96</f>
        <v>2</v>
      </c>
      <c r="C84" s="39">
        <f t="shared" ref="C84:K84" si="32">C72-C96</f>
        <v>2</v>
      </c>
      <c r="D84" s="100" t="s">
        <v>31</v>
      </c>
      <c r="E84" s="39" t="s">
        <v>31</v>
      </c>
      <c r="F84" s="100" t="s">
        <v>31</v>
      </c>
      <c r="G84" s="39" t="s">
        <v>31</v>
      </c>
      <c r="H84" s="100" t="s">
        <v>31</v>
      </c>
      <c r="I84" s="39" t="s">
        <v>31</v>
      </c>
      <c r="J84" s="100">
        <f t="shared" si="32"/>
        <v>2</v>
      </c>
      <c r="K84" s="39">
        <f t="shared" si="32"/>
        <v>2</v>
      </c>
    </row>
    <row r="85" spans="1:11" ht="13.8" x14ac:dyDescent="0.25">
      <c r="A85" s="6" t="s">
        <v>39</v>
      </c>
      <c r="B85" s="100">
        <f>B73-B97</f>
        <v>44</v>
      </c>
      <c r="C85" s="47">
        <f t="shared" ref="C85:K85" si="33">C73-C97</f>
        <v>13</v>
      </c>
      <c r="D85" s="100">
        <f t="shared" si="33"/>
        <v>29</v>
      </c>
      <c r="E85" s="47">
        <f t="shared" si="33"/>
        <v>24</v>
      </c>
      <c r="F85" s="100">
        <f t="shared" si="33"/>
        <v>15</v>
      </c>
      <c r="G85" s="47">
        <f t="shared" si="33"/>
        <v>2</v>
      </c>
      <c r="H85" s="100">
        <f t="shared" si="33"/>
        <v>2</v>
      </c>
      <c r="I85" s="47">
        <f t="shared" si="33"/>
        <v>1</v>
      </c>
      <c r="J85" s="100">
        <f t="shared" si="33"/>
        <v>90</v>
      </c>
      <c r="K85" s="47">
        <f t="shared" si="33"/>
        <v>40</v>
      </c>
    </row>
    <row r="86" spans="1:11" ht="13.8" x14ac:dyDescent="0.25">
      <c r="A86" s="6" t="s">
        <v>40</v>
      </c>
      <c r="B86" s="98">
        <f>B74-B98</f>
        <v>8</v>
      </c>
      <c r="C86" s="39">
        <f t="shared" ref="C86:K86" si="34">C74-C98</f>
        <v>16</v>
      </c>
      <c r="D86" s="98">
        <f t="shared" si="34"/>
        <v>7</v>
      </c>
      <c r="E86" s="39">
        <f t="shared" si="34"/>
        <v>6</v>
      </c>
      <c r="F86" s="98">
        <f t="shared" si="34"/>
        <v>2</v>
      </c>
      <c r="G86" s="39">
        <f t="shared" si="34"/>
        <v>3</v>
      </c>
      <c r="H86" s="98">
        <f t="shared" si="34"/>
        <v>0</v>
      </c>
      <c r="I86" s="39">
        <f t="shared" si="34"/>
        <v>2</v>
      </c>
      <c r="J86" s="98">
        <f t="shared" si="34"/>
        <v>17</v>
      </c>
      <c r="K86" s="39">
        <f t="shared" si="34"/>
        <v>27</v>
      </c>
    </row>
    <row r="87" spans="1:11" ht="13.8" x14ac:dyDescent="0.25">
      <c r="A87" s="34" t="s">
        <v>57</v>
      </c>
      <c r="B87" s="100">
        <f>B75</f>
        <v>3818</v>
      </c>
      <c r="C87" s="39">
        <f t="shared" ref="C87:K87" si="35">C75</f>
        <v>3815</v>
      </c>
      <c r="D87" s="100">
        <f t="shared" si="35"/>
        <v>933</v>
      </c>
      <c r="E87" s="39">
        <f t="shared" si="35"/>
        <v>934</v>
      </c>
      <c r="F87" s="100">
        <f t="shared" si="35"/>
        <v>881</v>
      </c>
      <c r="G87" s="39">
        <f t="shared" si="35"/>
        <v>907</v>
      </c>
      <c r="H87" s="100">
        <f t="shared" si="35"/>
        <v>135</v>
      </c>
      <c r="I87" s="39">
        <f t="shared" si="35"/>
        <v>136</v>
      </c>
      <c r="J87" s="100">
        <f t="shared" si="35"/>
        <v>5767</v>
      </c>
      <c r="K87" s="39">
        <f t="shared" si="35"/>
        <v>5792</v>
      </c>
    </row>
    <row r="88" spans="1:11" ht="15.6" x14ac:dyDescent="0.3">
      <c r="A88" s="108"/>
      <c r="B88" s="108"/>
      <c r="C88" s="108"/>
      <c r="D88" s="108"/>
      <c r="E88" s="108"/>
      <c r="F88" s="109"/>
      <c r="G88" s="109"/>
      <c r="K88" s="49"/>
    </row>
    <row r="89" spans="1:11" ht="15.6" x14ac:dyDescent="0.3">
      <c r="A89" s="62"/>
      <c r="B89" s="62"/>
      <c r="C89" s="62"/>
      <c r="D89" s="62"/>
      <c r="E89" s="62"/>
      <c r="F89" s="63"/>
      <c r="G89" s="63"/>
      <c r="K89" s="49"/>
    </row>
    <row r="90" spans="1:11" ht="13.8" x14ac:dyDescent="0.25">
      <c r="A90" s="37" t="s">
        <v>54</v>
      </c>
      <c r="B90" s="49"/>
      <c r="C90" s="49"/>
      <c r="D90" s="49"/>
      <c r="E90" s="49"/>
      <c r="K90" s="49"/>
    </row>
    <row r="91" spans="1:11" ht="13.8" x14ac:dyDescent="0.25">
      <c r="A91" s="26" t="s">
        <v>2</v>
      </c>
      <c r="B91" s="162" t="s">
        <v>42</v>
      </c>
      <c r="C91" s="163"/>
      <c r="D91" s="155" t="s">
        <v>44</v>
      </c>
      <c r="E91" s="156"/>
      <c r="F91" s="155" t="s">
        <v>34</v>
      </c>
      <c r="G91" s="156"/>
      <c r="H91" s="155" t="s">
        <v>35</v>
      </c>
      <c r="I91" s="156"/>
      <c r="J91" s="155" t="s">
        <v>36</v>
      </c>
      <c r="K91" s="156"/>
    </row>
    <row r="92" spans="1:11" ht="14.4" thickBot="1" x14ac:dyDescent="0.3">
      <c r="A92" s="36"/>
      <c r="B92" s="107" t="s">
        <v>54</v>
      </c>
      <c r="C92" s="38" t="s">
        <v>46</v>
      </c>
      <c r="D92" s="107" t="s">
        <v>54</v>
      </c>
      <c r="E92" s="38" t="s">
        <v>46</v>
      </c>
      <c r="F92" s="107" t="s">
        <v>54</v>
      </c>
      <c r="G92" s="38" t="s">
        <v>46</v>
      </c>
      <c r="H92" s="107" t="s">
        <v>54</v>
      </c>
      <c r="I92" s="38" t="s">
        <v>46</v>
      </c>
      <c r="J92" s="107" t="s">
        <v>54</v>
      </c>
      <c r="K92" s="38" t="s">
        <v>46</v>
      </c>
    </row>
    <row r="93" spans="1:11" ht="13.8" x14ac:dyDescent="0.25">
      <c r="A93" s="35" t="s">
        <v>37</v>
      </c>
      <c r="B93" s="98">
        <v>419</v>
      </c>
      <c r="C93" s="47">
        <v>401</v>
      </c>
      <c r="D93" s="46">
        <v>213</v>
      </c>
      <c r="E93" s="47">
        <v>146</v>
      </c>
      <c r="F93" s="46">
        <v>111</v>
      </c>
      <c r="G93" s="47">
        <v>110</v>
      </c>
      <c r="H93" s="46">
        <v>-46</v>
      </c>
      <c r="I93" s="47">
        <v>-41</v>
      </c>
      <c r="J93" s="46">
        <f>SUM(H93,F93,D93,B93)</f>
        <v>697</v>
      </c>
      <c r="K93" s="39">
        <f>SUM(I93,G93,E93,C93)</f>
        <v>616</v>
      </c>
    </row>
    <row r="94" spans="1:11" ht="27.6" x14ac:dyDescent="0.25">
      <c r="A94" s="34" t="s">
        <v>11</v>
      </c>
      <c r="B94" s="98">
        <v>47</v>
      </c>
      <c r="C94" s="47">
        <v>41</v>
      </c>
      <c r="D94" s="98">
        <v>34</v>
      </c>
      <c r="E94" s="47">
        <v>17</v>
      </c>
      <c r="F94" s="98">
        <v>16</v>
      </c>
      <c r="G94" s="47">
        <v>12</v>
      </c>
      <c r="H94" s="98">
        <v>2</v>
      </c>
      <c r="I94" s="47">
        <v>0</v>
      </c>
      <c r="J94" s="46">
        <f>SUM(H94,F94,D94,B94)</f>
        <v>99</v>
      </c>
      <c r="K94" s="39">
        <f>SUM(I94,G94,E94,C94)</f>
        <v>70</v>
      </c>
    </row>
    <row r="95" spans="1:11" ht="14.4" x14ac:dyDescent="0.3">
      <c r="A95" s="61" t="s">
        <v>38</v>
      </c>
      <c r="B95" s="99">
        <f t="shared" ref="B95:F95" si="36">B94/B93</f>
        <v>0.11217183770883055</v>
      </c>
      <c r="C95" s="40">
        <f t="shared" ref="C95" si="37">C94/C93</f>
        <v>0.10224438902743142</v>
      </c>
      <c r="D95" s="99">
        <f t="shared" si="36"/>
        <v>0.15962441314553991</v>
      </c>
      <c r="E95" s="40">
        <f t="shared" ref="E95" si="38">E94/E93</f>
        <v>0.11643835616438356</v>
      </c>
      <c r="F95" s="99">
        <f t="shared" si="36"/>
        <v>0.14414414414414414</v>
      </c>
      <c r="G95" s="40">
        <f t="shared" ref="G95" si="39">G94/G93</f>
        <v>0.10909090909090909</v>
      </c>
      <c r="H95" s="99" t="s">
        <v>31</v>
      </c>
      <c r="I95" s="40" t="s">
        <v>31</v>
      </c>
      <c r="J95" s="99">
        <f>J94/J93</f>
        <v>0.14203730272596843</v>
      </c>
      <c r="K95" s="40">
        <f>K94/K93</f>
        <v>0.11363636363636363</v>
      </c>
    </row>
    <row r="96" spans="1:11" ht="27.6" x14ac:dyDescent="0.25">
      <c r="A96" s="48" t="s">
        <v>12</v>
      </c>
      <c r="B96" s="100">
        <v>2</v>
      </c>
      <c r="C96" s="39">
        <v>2</v>
      </c>
      <c r="D96" s="100" t="s">
        <v>31</v>
      </c>
      <c r="E96" s="39" t="s">
        <v>31</v>
      </c>
      <c r="F96" s="101" t="s">
        <v>31</v>
      </c>
      <c r="G96" s="39" t="s">
        <v>31</v>
      </c>
      <c r="H96" s="101" t="s">
        <v>31</v>
      </c>
      <c r="I96" s="39" t="s">
        <v>31</v>
      </c>
      <c r="J96" s="46">
        <f t="shared" ref="J96:K99" si="40">SUM(H96,F96,D96,B96)</f>
        <v>2</v>
      </c>
      <c r="K96" s="39">
        <f t="shared" si="40"/>
        <v>2</v>
      </c>
    </row>
    <row r="97" spans="1:11" ht="13.8" x14ac:dyDescent="0.25">
      <c r="A97" s="6" t="s">
        <v>39</v>
      </c>
      <c r="B97" s="100">
        <f>B96+B94</f>
        <v>49</v>
      </c>
      <c r="C97" s="47">
        <f>C96+C94</f>
        <v>43</v>
      </c>
      <c r="D97" s="100">
        <v>34</v>
      </c>
      <c r="E97" s="47">
        <v>17</v>
      </c>
      <c r="F97" s="100">
        <v>16</v>
      </c>
      <c r="G97" s="47">
        <v>12</v>
      </c>
      <c r="H97" s="98">
        <v>2</v>
      </c>
      <c r="I97" s="47">
        <v>0</v>
      </c>
      <c r="J97" s="46">
        <f t="shared" si="40"/>
        <v>101</v>
      </c>
      <c r="K97" s="47">
        <f t="shared" si="40"/>
        <v>72</v>
      </c>
    </row>
    <row r="98" spans="1:11" ht="13.8" x14ac:dyDescent="0.25">
      <c r="A98" s="6" t="s">
        <v>40</v>
      </c>
      <c r="B98" s="98">
        <v>6</v>
      </c>
      <c r="C98" s="39">
        <v>21</v>
      </c>
      <c r="D98" s="98">
        <v>2</v>
      </c>
      <c r="E98" s="39">
        <v>3</v>
      </c>
      <c r="F98" s="98">
        <v>1</v>
      </c>
      <c r="G98" s="39">
        <v>5</v>
      </c>
      <c r="H98" s="98">
        <v>6</v>
      </c>
      <c r="I98" s="39">
        <v>2</v>
      </c>
      <c r="J98" s="46">
        <f t="shared" si="40"/>
        <v>15</v>
      </c>
      <c r="K98" s="39">
        <f t="shared" si="40"/>
        <v>31</v>
      </c>
    </row>
    <row r="99" spans="1:11" ht="13.8" x14ac:dyDescent="0.25">
      <c r="A99" s="34" t="s">
        <v>45</v>
      </c>
      <c r="B99" s="100">
        <v>3818</v>
      </c>
      <c r="C99" s="39">
        <v>3856</v>
      </c>
      <c r="D99" s="100">
        <v>917</v>
      </c>
      <c r="E99" s="39">
        <v>942</v>
      </c>
      <c r="F99" s="100">
        <v>871</v>
      </c>
      <c r="G99" s="39">
        <v>941</v>
      </c>
      <c r="H99" s="100">
        <v>136</v>
      </c>
      <c r="I99" s="39">
        <v>134</v>
      </c>
      <c r="J99" s="100">
        <f t="shared" si="40"/>
        <v>5742</v>
      </c>
      <c r="K99" s="39">
        <f t="shared" si="40"/>
        <v>5873</v>
      </c>
    </row>
    <row r="100" spans="1:11" ht="15.6" x14ac:dyDescent="0.3">
      <c r="A100" s="62"/>
      <c r="B100" s="62"/>
      <c r="C100" s="62"/>
      <c r="D100" s="62"/>
      <c r="E100" s="62"/>
      <c r="F100" s="63"/>
      <c r="G100" s="63"/>
      <c r="K100" s="49"/>
    </row>
    <row r="101" spans="1:11" s="67" customFormat="1" x14ac:dyDescent="0.25">
      <c r="A101" s="1" t="s">
        <v>41</v>
      </c>
      <c r="F101" s="68"/>
      <c r="G101" s="68"/>
      <c r="H101" s="68"/>
      <c r="I101" s="68"/>
      <c r="J101" s="68"/>
    </row>
    <row r="102" spans="1:11" s="67" customFormat="1" x14ac:dyDescent="0.25">
      <c r="A102" s="1"/>
      <c r="F102" s="68"/>
      <c r="G102" s="68"/>
      <c r="H102" s="68"/>
      <c r="I102" s="68"/>
      <c r="J102" s="68"/>
    </row>
    <row r="103" spans="1:11" s="67" customFormat="1" x14ac:dyDescent="0.25">
      <c r="A103" s="1"/>
      <c r="F103" s="68"/>
      <c r="G103" s="68"/>
      <c r="H103" s="68"/>
      <c r="I103" s="68"/>
      <c r="J103" s="68"/>
    </row>
    <row r="105" spans="1:11" x14ac:dyDescent="0.25">
      <c r="B105" s="49"/>
      <c r="C105" s="49"/>
      <c r="D105" s="49"/>
      <c r="E105" s="49"/>
      <c r="K105" s="49"/>
    </row>
  </sheetData>
  <mergeCells count="47">
    <mergeCell ref="J5:K5"/>
    <mergeCell ref="E27:F27"/>
    <mergeCell ref="G27:H27"/>
    <mergeCell ref="I27:J27"/>
    <mergeCell ref="K27:L27"/>
    <mergeCell ref="H17:I17"/>
    <mergeCell ref="J17:K17"/>
    <mergeCell ref="H5:I5"/>
    <mergeCell ref="A1:D1"/>
    <mergeCell ref="A2:D2"/>
    <mergeCell ref="F2:G2"/>
    <mergeCell ref="B17:C17"/>
    <mergeCell ref="D17:E17"/>
    <mergeCell ref="F17:G17"/>
    <mergeCell ref="B5:C5"/>
    <mergeCell ref="D5:E5"/>
    <mergeCell ref="F5:G5"/>
    <mergeCell ref="B91:C91"/>
    <mergeCell ref="D91:E91"/>
    <mergeCell ref="F91:G91"/>
    <mergeCell ref="B67:C67"/>
    <mergeCell ref="D67:E67"/>
    <mergeCell ref="F67:G67"/>
    <mergeCell ref="B79:C79"/>
    <mergeCell ref="B41:C41"/>
    <mergeCell ref="D41:E41"/>
    <mergeCell ref="D79:E79"/>
    <mergeCell ref="F79:G79"/>
    <mergeCell ref="B54:C54"/>
    <mergeCell ref="D54:E54"/>
    <mergeCell ref="F41:G41"/>
    <mergeCell ref="F54:G54"/>
    <mergeCell ref="H41:I41"/>
    <mergeCell ref="J41:K41"/>
    <mergeCell ref="H91:I91"/>
    <mergeCell ref="J91:K91"/>
    <mergeCell ref="H67:I67"/>
    <mergeCell ref="J67:K67"/>
    <mergeCell ref="H54:I54"/>
    <mergeCell ref="J54:K54"/>
    <mergeCell ref="H79:I79"/>
    <mergeCell ref="J79:K79"/>
    <mergeCell ref="B29:C29"/>
    <mergeCell ref="D29:E29"/>
    <mergeCell ref="F29:G29"/>
    <mergeCell ref="H29:I29"/>
    <mergeCell ref="J29:K29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ignoredErrors>
    <ignoredError sqref="B83:K84 J95:K95 B45:C45 J45:K4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6" ma:contentTypeDescription="Create a new document." ma:contentTypeScope="" ma:versionID="4bc8675ba1b14a8547b566f9db1eef77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6d14e771dec3a70c3fc0efbd21320c70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bcf1e9-e461-470a-bb88-762ecdddcc59">
      <Terms xmlns="http://schemas.microsoft.com/office/infopath/2007/PartnerControls"/>
    </lcf76f155ced4ddcb4097134ff3c332f>
    <TaxCatchAll xmlns="3f1b031d-910b-4ce4-8c1e-31068d7e3e06" xsi:nil="true"/>
  </documentManagement>
</p:properties>
</file>

<file path=customXml/itemProps1.xml><?xml version="1.0" encoding="utf-8"?>
<ds:datastoreItem xmlns:ds="http://schemas.openxmlformats.org/officeDocument/2006/customXml" ds:itemID="{1687F00B-0787-414E-AC24-286C922B4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3f1b031d-910b-4ce4-8c1e-31068d7e3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  <ds:schemaRef ds:uri="3f1b031d-910b-4ce4-8c1e-31068d7e3e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Landau, Theresa (Mannheim)</cp:lastModifiedBy>
  <cp:revision/>
  <cp:lastPrinted>2019-05-02T14:07:20Z</cp:lastPrinted>
  <dcterms:created xsi:type="dcterms:W3CDTF">2016-03-07T14:42:29Z</dcterms:created>
  <dcterms:modified xsi:type="dcterms:W3CDTF">2023-03-08T09:02:45Z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